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Beast\Documents\"/>
    </mc:Choice>
  </mc:AlternateContent>
  <xr:revisionPtr revIDLastSave="0" documentId="13_ncr:1_{9A5FF6EC-92F3-4025-BB85-AB1217856095}" xr6:coauthVersionLast="43" xr6:coauthVersionMax="43" xr10:uidLastSave="{00000000-0000-0000-0000-000000000000}"/>
  <bookViews>
    <workbookView xWindow="-108" yWindow="-108" windowWidth="23256" windowHeight="12576" tabRatio="829" firstSheet="3" activeTab="10" xr2:uid="{34E6FBBB-6644-4DA7-92B2-C82122535C8B}"/>
  </bookViews>
  <sheets>
    <sheet name="Bamboe Kubus" sheetId="1" r:id="rId1"/>
    <sheet name="Kozijnen Kubus" sheetId="6" r:id="rId2"/>
    <sheet name="Scheeps Kubus" sheetId="3" r:id="rId3"/>
    <sheet name="Hennep Kubus" sheetId="4" r:id="rId4"/>
    <sheet name="Container Kubus" sheetId="5" r:id="rId5"/>
    <sheet name="Gras Kubus" sheetId="2" r:id="rId6"/>
    <sheet name="muren die eruit gaan &amp; vervang" sheetId="10" r:id="rId7"/>
    <sheet name="Bijkomende Kosten" sheetId="15" r:id="rId8"/>
    <sheet name="Zonnepanelen" sheetId="13" r:id="rId9"/>
    <sheet name="Exploitatiekosten" sheetId="11" r:id="rId10"/>
    <sheet name="Totale kosten" sheetId="1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7" i="12" l="1"/>
  <c r="D5" i="12"/>
  <c r="D17" i="12"/>
  <c r="D18" i="12"/>
  <c r="D19" i="12"/>
  <c r="D22" i="12"/>
  <c r="D15" i="12"/>
  <c r="H21" i="15"/>
  <c r="H20" i="15"/>
  <c r="D21" i="12" s="1"/>
  <c r="H22" i="15"/>
  <c r="D23" i="12" s="1"/>
  <c r="H19" i="15"/>
  <c r="D20" i="12" s="1"/>
  <c r="H18" i="15"/>
  <c r="H17" i="15"/>
  <c r="H16" i="15"/>
  <c r="H15" i="15"/>
  <c r="D16" i="12" s="1"/>
  <c r="H14" i="15"/>
  <c r="I23" i="15" l="1"/>
  <c r="D10" i="12"/>
  <c r="H22" i="5"/>
  <c r="J22" i="5"/>
  <c r="J13" i="4"/>
  <c r="H13" i="4"/>
  <c r="H14" i="3"/>
  <c r="I12" i="3"/>
  <c r="I11" i="3"/>
  <c r="J70" i="3"/>
  <c r="J62" i="3"/>
  <c r="J53" i="3"/>
  <c r="H104" i="4"/>
  <c r="H105" i="4"/>
  <c r="H83" i="4"/>
  <c r="H80" i="4"/>
  <c r="D80" i="4"/>
  <c r="H79" i="4"/>
  <c r="G21" i="3"/>
  <c r="G22" i="3"/>
  <c r="G23" i="3"/>
  <c r="G24" i="3"/>
  <c r="G25" i="3"/>
  <c r="G26" i="3"/>
  <c r="G27" i="3"/>
  <c r="G20" i="3"/>
  <c r="I10" i="4"/>
  <c r="J57" i="4"/>
  <c r="J66" i="4"/>
  <c r="I11" i="4" s="1"/>
  <c r="J58" i="1"/>
  <c r="J67" i="1"/>
  <c r="J67" i="5"/>
  <c r="K7" i="4"/>
  <c r="K8" i="4"/>
  <c r="K9" i="4"/>
  <c r="K6" i="4"/>
  <c r="J49" i="4"/>
  <c r="F26" i="4"/>
  <c r="G26" i="4" s="1"/>
  <c r="E25" i="4"/>
  <c r="F25" i="4" s="1"/>
  <c r="G25" i="4" s="1"/>
  <c r="F24" i="4"/>
  <c r="G24" i="4" s="1"/>
  <c r="F23" i="4"/>
  <c r="G23" i="4" s="1"/>
  <c r="F22" i="4"/>
  <c r="G22" i="4" s="1"/>
  <c r="E21" i="4"/>
  <c r="E20" i="4"/>
  <c r="E19" i="4"/>
  <c r="F27" i="3"/>
  <c r="F26" i="3"/>
  <c r="E26" i="3"/>
  <c r="F25" i="3"/>
  <c r="F24" i="3"/>
  <c r="F23" i="3"/>
  <c r="E22" i="3"/>
  <c r="F22" i="3" s="1"/>
  <c r="D22" i="3"/>
  <c r="E21" i="3"/>
  <c r="F21" i="3" s="1"/>
  <c r="D21" i="3"/>
  <c r="E20" i="3"/>
  <c r="F20" i="3" s="1"/>
  <c r="D20" i="3"/>
  <c r="D94" i="4"/>
  <c r="D93" i="4"/>
  <c r="D92" i="4"/>
  <c r="D91" i="4"/>
  <c r="D90" i="4"/>
  <c r="D89" i="4"/>
  <c r="H88" i="4"/>
  <c r="H82" i="4"/>
  <c r="H81" i="4"/>
  <c r="H78" i="4"/>
  <c r="H77" i="4"/>
  <c r="H11" i="4"/>
  <c r="D21" i="4" s="1"/>
  <c r="H10" i="4"/>
  <c r="H9" i="4"/>
  <c r="H8" i="4"/>
  <c r="H7" i="4"/>
  <c r="H6" i="4"/>
  <c r="D97" i="3"/>
  <c r="D96" i="3"/>
  <c r="D95" i="3"/>
  <c r="D94" i="3"/>
  <c r="D93" i="3"/>
  <c r="D92" i="3"/>
  <c r="H91" i="3"/>
  <c r="H85" i="3"/>
  <c r="H84" i="3"/>
  <c r="H83" i="3"/>
  <c r="H82" i="3"/>
  <c r="H81" i="3"/>
  <c r="H12" i="3"/>
  <c r="H11" i="3"/>
  <c r="H10" i="3"/>
  <c r="H9" i="3"/>
  <c r="H8" i="3"/>
  <c r="H7" i="3"/>
  <c r="K10" i="3" l="1"/>
  <c r="K7" i="3"/>
  <c r="K8" i="3"/>
  <c r="D19" i="4"/>
  <c r="F19" i="4" s="1"/>
  <c r="G19" i="4" s="1"/>
  <c r="D20" i="4"/>
  <c r="F20" i="4" s="1"/>
  <c r="G20" i="4" s="1"/>
  <c r="I28" i="3"/>
  <c r="F21" i="4"/>
  <c r="G21" i="4" s="1"/>
  <c r="E100" i="4"/>
  <c r="J14" i="3"/>
  <c r="H86" i="3"/>
  <c r="E95" i="3" s="1"/>
  <c r="H95" i="3" s="1"/>
  <c r="D104" i="3" s="1"/>
  <c r="E92" i="3"/>
  <c r="H92" i="3" s="1"/>
  <c r="D101" i="3" s="1"/>
  <c r="E97" i="3"/>
  <c r="H97" i="3" s="1"/>
  <c r="K9" i="3"/>
  <c r="K16" i="3" l="1"/>
  <c r="I31" i="3" s="1"/>
  <c r="D9" i="12" s="1"/>
  <c r="E89" i="4"/>
  <c r="H89" i="4" s="1"/>
  <c r="D98" i="4" s="1"/>
  <c r="K15" i="4"/>
  <c r="I27" i="4"/>
  <c r="E99" i="4"/>
  <c r="E101" i="4"/>
  <c r="E94" i="4"/>
  <c r="H94" i="4" s="1"/>
  <c r="D103" i="4" s="1"/>
  <c r="E91" i="4"/>
  <c r="H91" i="4" s="1"/>
  <c r="D100" i="4" s="1"/>
  <c r="H100" i="4" s="1"/>
  <c r="E102" i="4"/>
  <c r="E103" i="4"/>
  <c r="E90" i="4"/>
  <c r="H90" i="4" s="1"/>
  <c r="D99" i="4" s="1"/>
  <c r="E93" i="4"/>
  <c r="H93" i="4" s="1"/>
  <c r="D102" i="4" s="1"/>
  <c r="E98" i="4"/>
  <c r="E92" i="4"/>
  <c r="H92" i="4" s="1"/>
  <c r="D101" i="4" s="1"/>
  <c r="E102" i="3"/>
  <c r="E93" i="3"/>
  <c r="H93" i="3" s="1"/>
  <c r="D102" i="3" s="1"/>
  <c r="E96" i="3"/>
  <c r="H96" i="3" s="1"/>
  <c r="D105" i="3" s="1"/>
  <c r="H105" i="3" s="1"/>
  <c r="E105" i="3"/>
  <c r="E94" i="3"/>
  <c r="H94" i="3" s="1"/>
  <c r="D103" i="3" s="1"/>
  <c r="E104" i="3"/>
  <c r="H104" i="3" s="1"/>
  <c r="E103" i="3"/>
  <c r="E101" i="3"/>
  <c r="E106" i="3"/>
  <c r="D106" i="3"/>
  <c r="H98" i="3"/>
  <c r="H101" i="3"/>
  <c r="H102" i="3"/>
  <c r="H101" i="4" l="1"/>
  <c r="H103" i="4"/>
  <c r="H98" i="4"/>
  <c r="I30" i="4"/>
  <c r="H102" i="4"/>
  <c r="H99" i="4"/>
  <c r="H95" i="4"/>
  <c r="H103" i="3"/>
  <c r="H106" i="3"/>
  <c r="H108" i="3"/>
  <c r="H107" i="3"/>
  <c r="M9" i="13" l="1"/>
  <c r="N9" i="13"/>
  <c r="K9" i="13"/>
  <c r="G5" i="13"/>
  <c r="G4" i="13"/>
  <c r="E4" i="13"/>
  <c r="F4" i="13" s="1"/>
  <c r="G3" i="13"/>
  <c r="H4" i="13"/>
  <c r="H5" i="13"/>
  <c r="E5" i="13"/>
  <c r="F5" i="13" s="1"/>
  <c r="H108" i="5"/>
  <c r="H112" i="5"/>
  <c r="H114" i="5"/>
  <c r="H107" i="6"/>
  <c r="H106" i="6"/>
  <c r="H93" i="5"/>
  <c r="C91" i="5"/>
  <c r="C92" i="5"/>
  <c r="D92" i="5"/>
  <c r="D91" i="5"/>
  <c r="D90" i="5"/>
  <c r="C90" i="5"/>
  <c r="E30" i="5"/>
  <c r="E29" i="5"/>
  <c r="I12" i="11"/>
  <c r="I13" i="11"/>
  <c r="I14" i="11"/>
  <c r="I15" i="11"/>
  <c r="I16" i="11"/>
  <c r="J9" i="13" l="1"/>
  <c r="D14" i="12" s="1"/>
  <c r="H115" i="5"/>
  <c r="H92" i="5"/>
  <c r="K25" i="6"/>
  <c r="K26" i="6"/>
  <c r="K27" i="6"/>
  <c r="K28" i="6"/>
  <c r="J76" i="5" l="1"/>
  <c r="J58" i="5"/>
  <c r="D104" i="5"/>
  <c r="D103" i="5"/>
  <c r="D102" i="5"/>
  <c r="D101" i="5"/>
  <c r="D100" i="5"/>
  <c r="D99" i="5"/>
  <c r="H98" i="5"/>
  <c r="H91" i="5"/>
  <c r="H90" i="5"/>
  <c r="H89" i="5"/>
  <c r="H88" i="5"/>
  <c r="H87" i="5"/>
  <c r="F36" i="5"/>
  <c r="G36" i="5" s="1"/>
  <c r="E35" i="5"/>
  <c r="F35" i="5" s="1"/>
  <c r="G35" i="5" s="1"/>
  <c r="F34" i="5"/>
  <c r="G34" i="5" s="1"/>
  <c r="F33" i="5"/>
  <c r="G33" i="5" s="1"/>
  <c r="F32" i="5"/>
  <c r="G32" i="5" s="1"/>
  <c r="E31" i="5"/>
  <c r="H20" i="5"/>
  <c r="H19" i="5"/>
  <c r="H18" i="5"/>
  <c r="H17" i="5"/>
  <c r="H16" i="5"/>
  <c r="H15" i="5"/>
  <c r="R14" i="2"/>
  <c r="R15" i="2"/>
  <c r="R16" i="2"/>
  <c r="R17" i="2"/>
  <c r="R18" i="2"/>
  <c r="R19" i="2"/>
  <c r="R20" i="2"/>
  <c r="R21" i="2"/>
  <c r="R22" i="2"/>
  <c r="R23" i="2"/>
  <c r="R24" i="2"/>
  <c r="R25" i="2"/>
  <c r="R26" i="2"/>
  <c r="R27" i="2"/>
  <c r="R28" i="2"/>
  <c r="R29" i="2"/>
  <c r="R13" i="2"/>
  <c r="M15" i="2"/>
  <c r="M16" i="2"/>
  <c r="M17" i="2"/>
  <c r="M18" i="2"/>
  <c r="M19" i="2"/>
  <c r="M20" i="2"/>
  <c r="M21" i="2"/>
  <c r="M22" i="2"/>
  <c r="M23" i="2"/>
  <c r="M24" i="2"/>
  <c r="M25" i="2"/>
  <c r="M26" i="2"/>
  <c r="M27" i="2"/>
  <c r="M28" i="2"/>
  <c r="M29" i="2"/>
  <c r="M13" i="2"/>
  <c r="M14" i="2"/>
  <c r="L9" i="13" l="1"/>
  <c r="P9" i="13" s="1"/>
  <c r="D34" i="12" s="1"/>
  <c r="D29" i="5"/>
  <c r="K15" i="5"/>
  <c r="D30" i="5"/>
  <c r="F30" i="5" s="1"/>
  <c r="G30" i="5" s="1"/>
  <c r="I19" i="5"/>
  <c r="K16" i="5"/>
  <c r="D31" i="5"/>
  <c r="F31" i="5" s="1"/>
  <c r="G31" i="5" s="1"/>
  <c r="I20" i="5"/>
  <c r="K18" i="5"/>
  <c r="K17" i="5"/>
  <c r="E103" i="5"/>
  <c r="H103" i="5" s="1"/>
  <c r="F29" i="5"/>
  <c r="F46" i="10"/>
  <c r="J41" i="10"/>
  <c r="I41" i="10"/>
  <c r="F40" i="10"/>
  <c r="G40" i="10" s="1"/>
  <c r="H40" i="10"/>
  <c r="H35" i="10"/>
  <c r="D11" i="12"/>
  <c r="R31" i="2"/>
  <c r="I37" i="5" l="1"/>
  <c r="G29" i="5"/>
  <c r="E109" i="5"/>
  <c r="E111" i="5"/>
  <c r="E112" i="5"/>
  <c r="E113" i="5"/>
  <c r="E102" i="5"/>
  <c r="H102" i="5" s="1"/>
  <c r="D111" i="5" s="1"/>
  <c r="E108" i="5"/>
  <c r="E100" i="5"/>
  <c r="H100" i="5" s="1"/>
  <c r="D109" i="5" s="1"/>
  <c r="E99" i="5"/>
  <c r="H99" i="5" s="1"/>
  <c r="D108" i="5" s="1"/>
  <c r="E110" i="5"/>
  <c r="E101" i="5"/>
  <c r="H101" i="5" s="1"/>
  <c r="D110" i="5" s="1"/>
  <c r="E104" i="5"/>
  <c r="H104" i="5" s="1"/>
  <c r="D113" i="5" s="1"/>
  <c r="D112" i="5"/>
  <c r="I24" i="5"/>
  <c r="K25" i="5" s="1"/>
  <c r="I40" i="5" s="1"/>
  <c r="D12" i="12" s="1"/>
  <c r="I9" i="11"/>
  <c r="I10" i="11"/>
  <c r="H11" i="11"/>
  <c r="I11" i="11" s="1"/>
  <c r="H12" i="11"/>
  <c r="H9" i="11"/>
  <c r="H10" i="11"/>
  <c r="I8" i="11"/>
  <c r="I7" i="11"/>
  <c r="H8" i="11"/>
  <c r="J17" i="11" l="1"/>
  <c r="K17" i="11" s="1"/>
  <c r="D33" i="12" s="1"/>
  <c r="H109" i="5"/>
  <c r="H113" i="5"/>
  <c r="H111" i="5"/>
  <c r="H110" i="5"/>
  <c r="H105" i="5"/>
  <c r="H7" i="11"/>
  <c r="F45" i="10" l="1"/>
  <c r="G47" i="10" s="1"/>
  <c r="G51" i="10" s="1"/>
  <c r="G39" i="10"/>
  <c r="F39" i="10"/>
  <c r="D39" i="10"/>
  <c r="H39" i="10" s="1"/>
  <c r="G38" i="10"/>
  <c r="F38" i="10"/>
  <c r="D38" i="10"/>
  <c r="H38" i="10" s="1"/>
  <c r="G37" i="10"/>
  <c r="F37" i="10"/>
  <c r="D37" i="10"/>
  <c r="H37" i="10" s="1"/>
  <c r="G36" i="10"/>
  <c r="F36" i="10"/>
  <c r="D36" i="10"/>
  <c r="H36" i="10" s="1"/>
  <c r="G35" i="10"/>
  <c r="F35" i="10"/>
  <c r="D35" i="10"/>
  <c r="G34" i="10"/>
  <c r="F34" i="10"/>
  <c r="D34" i="10"/>
  <c r="H34" i="10" s="1"/>
  <c r="E29" i="10"/>
  <c r="F29" i="10" s="1"/>
  <c r="D29" i="10"/>
  <c r="D28" i="10"/>
  <c r="E28" i="10" s="1"/>
  <c r="F28" i="10" s="1"/>
  <c r="D27" i="10"/>
  <c r="E27" i="10" s="1"/>
  <c r="F27" i="10" s="1"/>
  <c r="F26" i="10"/>
  <c r="E26" i="10"/>
  <c r="D26" i="10"/>
  <c r="E25" i="10"/>
  <c r="F25" i="10" s="1"/>
  <c r="D25" i="10"/>
  <c r="D24" i="10"/>
  <c r="E24" i="10" s="1"/>
  <c r="F24" i="10" s="1"/>
  <c r="D23" i="10"/>
  <c r="E23" i="10" s="1"/>
  <c r="F23" i="10" s="1"/>
  <c r="E43" i="6"/>
  <c r="F43" i="6" s="1"/>
  <c r="G43" i="6" s="1"/>
  <c r="E38" i="6"/>
  <c r="G42" i="6"/>
  <c r="F44" i="6"/>
  <c r="G44" i="6" s="1"/>
  <c r="F42" i="6"/>
  <c r="F41" i="6"/>
  <c r="G41" i="6" s="1"/>
  <c r="E40" i="6"/>
  <c r="E39" i="6"/>
  <c r="E21" i="1"/>
  <c r="E19" i="1"/>
  <c r="E25" i="1"/>
  <c r="F25" i="1" s="1"/>
  <c r="G25" i="1" s="1"/>
  <c r="F26" i="1"/>
  <c r="G26" i="1" s="1"/>
  <c r="E20" i="1"/>
  <c r="F22" i="1"/>
  <c r="G22" i="1" s="1"/>
  <c r="F23" i="1"/>
  <c r="G23" i="1" s="1"/>
  <c r="F24" i="1"/>
  <c r="G24" i="1" s="1"/>
  <c r="J75" i="6"/>
  <c r="J66" i="6"/>
  <c r="J48" i="1"/>
  <c r="H78" i="1"/>
  <c r="H77" i="1"/>
  <c r="H12" i="1" s="1"/>
  <c r="D13" i="12" l="1"/>
  <c r="G30" i="10"/>
  <c r="J12" i="1"/>
  <c r="D93" i="1"/>
  <c r="D92" i="1"/>
  <c r="D91" i="1"/>
  <c r="D90" i="1"/>
  <c r="D89" i="1"/>
  <c r="D88" i="1"/>
  <c r="H87" i="1"/>
  <c r="H79" i="1"/>
  <c r="H81" i="1"/>
  <c r="H10" i="1"/>
  <c r="H9" i="1"/>
  <c r="H8" i="1"/>
  <c r="K8" i="1" s="1"/>
  <c r="H7" i="1"/>
  <c r="K7" i="1" s="1"/>
  <c r="H6" i="1"/>
  <c r="K6" i="1" s="1"/>
  <c r="H5" i="1"/>
  <c r="K5" i="1" s="1"/>
  <c r="D21" i="1" l="1"/>
  <c r="F21" i="1" s="1"/>
  <c r="G21" i="1" s="1"/>
  <c r="I10" i="1"/>
  <c r="D19" i="1"/>
  <c r="F19" i="1" s="1"/>
  <c r="G19" i="1" s="1"/>
  <c r="I9" i="1"/>
  <c r="D20" i="1"/>
  <c r="F20" i="1" s="1"/>
  <c r="G20" i="1" s="1"/>
  <c r="H80" i="1"/>
  <c r="H82" i="1" s="1"/>
  <c r="H30" i="6"/>
  <c r="H29" i="6"/>
  <c r="H25" i="6"/>
  <c r="H26" i="6"/>
  <c r="H27" i="6"/>
  <c r="H28" i="6"/>
  <c r="H24" i="6"/>
  <c r="D91" i="6"/>
  <c r="H81" i="6"/>
  <c r="D96" i="6"/>
  <c r="D95" i="6"/>
  <c r="D94" i="6"/>
  <c r="D93" i="6"/>
  <c r="D92" i="6"/>
  <c r="H90" i="6"/>
  <c r="H82" i="6"/>
  <c r="H80" i="6"/>
  <c r="C84" i="6" s="1"/>
  <c r="H84" i="6" s="1"/>
  <c r="K29" i="6" l="1"/>
  <c r="D39" i="6"/>
  <c r="F39" i="6" s="1"/>
  <c r="G39" i="6" s="1"/>
  <c r="K30" i="6"/>
  <c r="D40" i="6"/>
  <c r="F40" i="6" s="1"/>
  <c r="G40" i="6" s="1"/>
  <c r="D38" i="6"/>
  <c r="F38" i="6" s="1"/>
  <c r="G38" i="6" s="1"/>
  <c r="H27" i="1"/>
  <c r="E100" i="1"/>
  <c r="E92" i="1"/>
  <c r="H92" i="1" s="1"/>
  <c r="E89" i="1"/>
  <c r="H89" i="1" s="1"/>
  <c r="D98" i="1" s="1"/>
  <c r="E102" i="1"/>
  <c r="E98" i="1"/>
  <c r="E90" i="1"/>
  <c r="H90" i="1" s="1"/>
  <c r="D99" i="1" s="1"/>
  <c r="E99" i="1"/>
  <c r="E91" i="1"/>
  <c r="H91" i="1" s="1"/>
  <c r="D100" i="1" s="1"/>
  <c r="E88" i="1"/>
  <c r="H88" i="1" s="1"/>
  <c r="D97" i="1" s="1"/>
  <c r="E101" i="1"/>
  <c r="E97" i="1"/>
  <c r="E93" i="1"/>
  <c r="H93" i="1" s="1"/>
  <c r="C83" i="6"/>
  <c r="H83" i="6" s="1"/>
  <c r="H85" i="6" s="1"/>
  <c r="D101" i="1" l="1"/>
  <c r="I14" i="1"/>
  <c r="K15" i="1" s="1"/>
  <c r="H30" i="1" s="1"/>
  <c r="D7" i="12" s="1"/>
  <c r="H98" i="1"/>
  <c r="H97" i="1"/>
  <c r="D102" i="1"/>
  <c r="H102" i="1" s="1"/>
  <c r="H94" i="1"/>
  <c r="H100" i="1"/>
  <c r="H99" i="1"/>
  <c r="H101" i="1"/>
  <c r="E102" i="6"/>
  <c r="E100" i="6"/>
  <c r="E92" i="6"/>
  <c r="H92" i="6" s="1"/>
  <c r="D101" i="6" s="1"/>
  <c r="E101" i="6"/>
  <c r="E91" i="6"/>
  <c r="H91" i="6" s="1"/>
  <c r="D100" i="6" s="1"/>
  <c r="E94" i="6"/>
  <c r="H94" i="6" s="1"/>
  <c r="D103" i="6" s="1"/>
  <c r="E104" i="6"/>
  <c r="E103" i="6"/>
  <c r="E95" i="6"/>
  <c r="H95" i="6" s="1"/>
  <c r="D104" i="6" s="1"/>
  <c r="E96" i="6"/>
  <c r="H96" i="6" s="1"/>
  <c r="D105" i="6" s="1"/>
  <c r="E105" i="6"/>
  <c r="E93" i="6"/>
  <c r="H93" i="6" s="1"/>
  <c r="D102" i="6" s="1"/>
  <c r="H103" i="1" l="1"/>
  <c r="H104" i="1"/>
  <c r="H102" i="6"/>
  <c r="H103" i="6"/>
  <c r="H100" i="6"/>
  <c r="H104" i="6"/>
  <c r="H101" i="6"/>
  <c r="H97" i="6"/>
  <c r="H105" i="6"/>
  <c r="H45" i="6"/>
  <c r="K34" i="6"/>
  <c r="H48" i="6" l="1"/>
  <c r="D8" i="12" s="1"/>
  <c r="D24" i="12" l="1"/>
  <c r="E25" i="12" s="1"/>
  <c r="D27" i="12" l="1"/>
  <c r="D28" i="12"/>
  <c r="D26" i="12"/>
  <c r="E31" i="12" s="1"/>
  <c r="D29" i="12"/>
  <c r="D35" i="12" l="1"/>
</calcChain>
</file>

<file path=xl/sharedStrings.xml><?xml version="1.0" encoding="utf-8"?>
<sst xmlns="http://schemas.openxmlformats.org/spreadsheetml/2006/main" count="771" uniqueCount="274">
  <si>
    <t>Derk Kubus</t>
  </si>
  <si>
    <t>Advies: het eruithalen van enkel glas en vervangen door dubbel glas HR++</t>
  </si>
  <si>
    <t>Breedte</t>
  </si>
  <si>
    <t>Lengte</t>
  </si>
  <si>
    <t>Hoogte</t>
  </si>
  <si>
    <t>Bamboe balken</t>
  </si>
  <si>
    <t>Muuren 2x 9x3,85</t>
  </si>
  <si>
    <t>Muuren 2x 15x3,85</t>
  </si>
  <si>
    <t>Dak 1x 15x9</t>
  </si>
  <si>
    <t>Vloer 1x 15x9</t>
  </si>
  <si>
    <t>Hier word zo nodig onderhoud aan gepleegd. (Groene biobased verf etc.).</t>
  </si>
  <si>
    <t>Wij schatten dat het ongeveer €80 m² kozijnen kost. Deze kosten kunnen mee of tegen zitten</t>
  </si>
  <si>
    <t>Minimale glas eis is HR+ glas (Dubbel glas)</t>
  </si>
  <si>
    <t>Maximale glas eis is HR++ glas (dus geen tripple glas)</t>
  </si>
  <si>
    <t>m²</t>
  </si>
  <si>
    <t>Glas berekening raam kozijn</t>
  </si>
  <si>
    <t>Aantal</t>
  </si>
  <si>
    <t>Lengte (mm)</t>
  </si>
  <si>
    <t>Breedte (mm)</t>
  </si>
  <si>
    <t>Dikte (mm)</t>
  </si>
  <si>
    <t>Totaal glas OPP. M²</t>
  </si>
  <si>
    <t>Glaslatten</t>
  </si>
  <si>
    <t>Stijlen</t>
  </si>
  <si>
    <t>Dorpels</t>
  </si>
  <si>
    <t>Totaal glas OPP.</t>
  </si>
  <si>
    <t>Aantal in de gevel:</t>
  </si>
  <si>
    <t>Type glas</t>
  </si>
  <si>
    <t>Prijs per m²</t>
  </si>
  <si>
    <t>Bespaar/jaar per m²</t>
  </si>
  <si>
    <t>Totaal glas kosten</t>
  </si>
  <si>
    <t>Kozijn aantal</t>
  </si>
  <si>
    <t>Prijs kozijn</t>
  </si>
  <si>
    <t>Totaal bedrag</t>
  </si>
  <si>
    <t>Kozijnprijs</t>
  </si>
  <si>
    <t xml:space="preserve">Standaard dubbel glas </t>
  </si>
  <si>
    <t>HR glas</t>
  </si>
  <si>
    <t>HR+ glas</t>
  </si>
  <si>
    <t>HR++ glas</t>
  </si>
  <si>
    <t>HR+++ glas</t>
  </si>
  <si>
    <t>Totaal bedrag verschil prijs</t>
  </si>
  <si>
    <t>Bespaar/jaar totaal</t>
  </si>
  <si>
    <t>Kosten Kozijn incl. glas</t>
  </si>
  <si>
    <t>Kosten terug verdient/jaar</t>
  </si>
  <si>
    <t>Kozijnen kubus</t>
  </si>
  <si>
    <t>Kozijn wand 2-4</t>
  </si>
  <si>
    <t>Kozijn wand 1-3</t>
  </si>
  <si>
    <t>Sins dit verschillende kozijnen zijn hebben we alleen stijlen en niet/vrij weinig glas latten. Voor glaslatten reken ik 0, maar reken ik meer stijlen. Overal heb ik een standaard maat gepakt.</t>
  </si>
  <si>
    <t>Ik reken 1 stijl per 1,5 M²  en 1 dorpel per 1,8 M², sinds ik geen idee heb wat voor soort kozijnen (m²) worden gebruikt uit gesloopte gebouwen. En de meeste kozijnen in de lengte zijn.</t>
  </si>
  <si>
    <t>HR+++ glas (tripel glas)</t>
  </si>
  <si>
    <t>Enkel glas</t>
  </si>
  <si>
    <t>Verschil terug verdient van enkel naar HR+</t>
  </si>
  <si>
    <t>Verschil terug verdient van enkel naar HR++</t>
  </si>
  <si>
    <t>Wand 1 (noord)</t>
  </si>
  <si>
    <t>Wand 2 (oost)</t>
  </si>
  <si>
    <t>Wand 3 (zuid)</t>
  </si>
  <si>
    <t>Wand 4 (west)</t>
  </si>
  <si>
    <t>Kosten m² kozijn</t>
  </si>
  <si>
    <t xml:space="preserve">kozijn </t>
  </si>
  <si>
    <t>Prijs</t>
  </si>
  <si>
    <t>Dak</t>
  </si>
  <si>
    <t>Vloer</t>
  </si>
  <si>
    <t>De kozijnen worden hergebruikt/gekocht van oude woningen die dubbel glas hebben als het hout nog in redelijke staat is.</t>
  </si>
  <si>
    <t>Enkel glas, of dubbel glas word vervangen door HR++ glas.</t>
  </si>
  <si>
    <t>Bak</t>
  </si>
  <si>
    <t>Kosten buitenschil Kubus</t>
  </si>
  <si>
    <t>4mx3,467</t>
  </si>
  <si>
    <t>3mx5,167 – dubbel deur van 2x2433</t>
  </si>
  <si>
    <t>12,9x2,2 - dubbel deur van 2x2433</t>
  </si>
  <si>
    <t>Schuifdeur (hand) 4x4,166</t>
  </si>
  <si>
    <t>5,2x4,93</t>
  </si>
  <si>
    <t>3,7x5</t>
  </si>
  <si>
    <t>_____________</t>
  </si>
  <si>
    <t xml:space="preserve">Raam 7,88 B x0,3 H </t>
  </si>
  <si>
    <t>x8</t>
  </si>
  <si>
    <t xml:space="preserve">  -deur 2 B 2,4 H</t>
  </si>
  <si>
    <t xml:space="preserve">Raam 95 B x0,3 H </t>
  </si>
  <si>
    <t>Tot. Kozijn opp.</t>
  </si>
  <si>
    <t>Ramen</t>
  </si>
  <si>
    <t>Aantal in de gevel(s):</t>
  </si>
  <si>
    <t xml:space="preserve">Bamboe </t>
  </si>
  <si>
    <t>Rachels</t>
  </si>
  <si>
    <t>Damp open folie</t>
  </si>
  <si>
    <t>HSB</t>
  </si>
  <si>
    <t>Damp dicht</t>
  </si>
  <si>
    <t>Kosten m²</t>
  </si>
  <si>
    <t>Tot. Kosten</t>
  </si>
  <si>
    <t>Tot. Kosten m²</t>
  </si>
  <si>
    <t>Dubbel deur bamboe</t>
  </si>
  <si>
    <t>Losse kosten</t>
  </si>
  <si>
    <t>Aftrek m² muur kosten</t>
  </si>
  <si>
    <t>Materialen muuropbouw</t>
  </si>
  <si>
    <t>Materialen Dakopbouw</t>
  </si>
  <si>
    <t>Groendak</t>
  </si>
  <si>
    <t>Bamboe plaat</t>
  </si>
  <si>
    <t>Isolatie (spijkerbroek)</t>
  </si>
  <si>
    <t>Plaat materiaal (staat niet vast)</t>
  </si>
  <si>
    <t>Materialen Vloer opbouw</t>
  </si>
  <si>
    <t>balklaag (essen hout)</t>
  </si>
  <si>
    <t>Gelamineerde liggers</t>
  </si>
  <si>
    <t>Essen houten plaat</t>
  </si>
  <si>
    <t xml:space="preserve">Let op: Bamboe moet afgewerkt worden met een biobased verf. </t>
  </si>
  <si>
    <t>https://www.greenpaints-shop.com/copperant-quattro-lakverf-hoogglans-uv.html</t>
  </si>
  <si>
    <t>Copperant Quattro Lakverf Hoogglans UV+</t>
  </si>
  <si>
    <t>Kozijnen (zie geg. Boven)</t>
  </si>
  <si>
    <t>Kosten in gevels verwerkt</t>
  </si>
  <si>
    <r>
      <rPr>
        <b/>
        <sz val="11"/>
        <color theme="1"/>
        <rFont val="Calibri"/>
        <family val="2"/>
        <scheme val="minor"/>
      </rPr>
      <t>"</t>
    </r>
    <r>
      <rPr>
        <b/>
        <i/>
        <sz val="11"/>
        <color theme="1"/>
        <rFont val="Calibri"/>
        <family val="2"/>
        <scheme val="minor"/>
      </rPr>
      <t>Kozijn totaal"x"Prijs kozijn"</t>
    </r>
    <r>
      <rPr>
        <sz val="11"/>
        <color theme="1"/>
        <rFont val="Calibri"/>
        <family val="2"/>
        <scheme val="minor"/>
      </rPr>
      <t xml:space="preserve"> is 1x een geschat bedrag gerekend.</t>
    </r>
  </si>
  <si>
    <t>10 min/ m² muur slopen</t>
  </si>
  <si>
    <t>Aantal m²</t>
  </si>
  <si>
    <t>Arbeid kosten</t>
  </si>
  <si>
    <t>Arbeid/uur kosten</t>
  </si>
  <si>
    <t>Tijd benodigd (uur)</t>
  </si>
  <si>
    <t>Muur OPP slopen</t>
  </si>
  <si>
    <t>4mx3,6m</t>
  </si>
  <si>
    <t>3mx5,2m – dubbel deur van 2x2433</t>
  </si>
  <si>
    <t>12,9mx2,2m - dubbel deur van 2x2433</t>
  </si>
  <si>
    <t>Schuifdeur (hand) 4mx4,166m</t>
  </si>
  <si>
    <t>5,2mx4,93m</t>
  </si>
  <si>
    <t>3,7mx5m</t>
  </si>
  <si>
    <t>Ramen 2</t>
  </si>
  <si>
    <t>Kozijnen kubus van bamboe/gas besparing</t>
  </si>
  <si>
    <t>Manuur berekening</t>
  </si>
  <si>
    <t>Wanden</t>
  </si>
  <si>
    <t>Raam kozijn</t>
  </si>
  <si>
    <t>Deur kozijn</t>
  </si>
  <si>
    <t>Glas zetten</t>
  </si>
  <si>
    <t>Deur plaatsen</t>
  </si>
  <si>
    <t>Norm</t>
  </si>
  <si>
    <t>Tot. Kosten arbeid</t>
  </si>
  <si>
    <t>Extra info materialen/kozijnen terug reken schema</t>
  </si>
  <si>
    <t>Wanden (van kozijnen)</t>
  </si>
  <si>
    <t>Vliesgevel plaatsen</t>
  </si>
  <si>
    <t>Arbeiders benodigd</t>
  </si>
  <si>
    <t>Materiaal kosten</t>
  </si>
  <si>
    <t>Deur 2x2,4</t>
  </si>
  <si>
    <t>Kosten per deur</t>
  </si>
  <si>
    <t>Kosten</t>
  </si>
  <si>
    <t>Deuren plaatsen/materiaal kosten</t>
  </si>
  <si>
    <t>Exploitatiekosten</t>
  </si>
  <si>
    <t>Lengte Kubus</t>
  </si>
  <si>
    <t>Breedte Kubus</t>
  </si>
  <si>
    <t>Muur dikte</t>
  </si>
  <si>
    <t>Huur prijs m²/maand</t>
  </si>
  <si>
    <t>Bamboe Kubus</t>
  </si>
  <si>
    <t>Kozijnen Kubus</t>
  </si>
  <si>
    <t>Scheeps Kubus</t>
  </si>
  <si>
    <t>Hennep Kubus</t>
  </si>
  <si>
    <t>Gras Kubus</t>
  </si>
  <si>
    <t>Container Kubus</t>
  </si>
  <si>
    <t>Tot. Verdient/maand</t>
  </si>
  <si>
    <t>3. Onvoorziene</t>
  </si>
  <si>
    <t>Gerekende kosten zijn 5% omdat we de meeste situaties niet hebben ingezien en op kunnen meten, en de berekeningen daardoor niet volledig accuraat zijn.</t>
  </si>
  <si>
    <t>4. Heffingskosten</t>
  </si>
  <si>
    <t>Het is een renovatie project, en het meeste is al gebouwd en de situatie is bekend, maar toch hebben we enige vergunningen nodig om sommige aanpassingen te maken. Dus we rekenen hier 1% van de bouwkosten voor.</t>
  </si>
  <si>
    <t>5. Ontwerp en advies</t>
  </si>
  <si>
    <t>Het ontwerp is al deels door ons project groepje uitgewerkt. En hierdoor zal er minder tekenwerk en ontwerpkosten nodig zijn, dus we rekenen 5% van de bouwkosten hiervoor.</t>
  </si>
  <si>
    <t>6. Financieringskosten</t>
  </si>
  <si>
    <r>
      <t>Hierbij rekenen wij 5% omdat er naar de hotels gekeken moet worden en wij het renteverlies ingerekend hebben</t>
    </r>
    <r>
      <rPr>
        <sz val="11"/>
        <color rgb="FF0D0D0D"/>
        <rFont val="Calibri"/>
        <family val="2"/>
        <scheme val="minor"/>
      </rPr>
      <t>.</t>
    </r>
  </si>
  <si>
    <t>7. Aanloopkosten</t>
  </si>
  <si>
    <t>De kosten voor de aanloopkosten schatten wij op €100.000 omdat wij een groot gebouw met veel sanitair hebben, en ook terrassen, kassen met planten etc. Hierbij gebruiken wij voor grotendeels hergebruikte materialen zoals oude auto stoelen, gerecycled hout etc.</t>
  </si>
  <si>
    <t>Tot. Bamboe</t>
  </si>
  <si>
    <t>Tot. Kozijnen</t>
  </si>
  <si>
    <t>Tot. Scheeps</t>
  </si>
  <si>
    <t>Tot. Hennep</t>
  </si>
  <si>
    <t>Tot. Gras</t>
  </si>
  <si>
    <t>Tot. Container</t>
  </si>
  <si>
    <t>Tot. Vervangen muur - glas</t>
  </si>
  <si>
    <t>Kubus van gras</t>
  </si>
  <si>
    <t>Bamboe staanders</t>
  </si>
  <si>
    <t>stuks</t>
  </si>
  <si>
    <t>m2</t>
  </si>
  <si>
    <t>Bamboe t.b.v. wanden</t>
  </si>
  <si>
    <t>Worteldoek</t>
  </si>
  <si>
    <t>Plantjes</t>
  </si>
  <si>
    <t>Kunststof kozijnen</t>
  </si>
  <si>
    <t>Bamboe t.b.v. vloer/plafond</t>
  </si>
  <si>
    <t>Wortelwerend folie</t>
  </si>
  <si>
    <t>Water bufferende mat</t>
  </si>
  <si>
    <t>Drainage</t>
  </si>
  <si>
    <t>Filtermat</t>
  </si>
  <si>
    <t>Anti zaknet t.b.v. grond</t>
  </si>
  <si>
    <t>Substraat</t>
  </si>
  <si>
    <t>m3</t>
  </si>
  <si>
    <t xml:space="preserve">Plantjes </t>
  </si>
  <si>
    <t>Dampdicht folie</t>
  </si>
  <si>
    <t>Drijfbak beton</t>
  </si>
  <si>
    <t xml:space="preserve">totaal </t>
  </si>
  <si>
    <t>aantal</t>
  </si>
  <si>
    <t>materiaal /</t>
  </si>
  <si>
    <t>Prijs per</t>
  </si>
  <si>
    <t>totaal</t>
  </si>
  <si>
    <t>onderaann /</t>
  </si>
  <si>
    <t>omschrijving</t>
  </si>
  <si>
    <t>hoeveelheid</t>
  </si>
  <si>
    <t>eenh</t>
  </si>
  <si>
    <t>norm</t>
  </si>
  <si>
    <t>uren</t>
  </si>
  <si>
    <t>arbeid</t>
  </si>
  <si>
    <t>eenheid</t>
  </si>
  <si>
    <t>materiaal</t>
  </si>
  <si>
    <t>onderaann</t>
  </si>
  <si>
    <t>prijs</t>
  </si>
  <si>
    <t>Tot. M²</t>
  </si>
  <si>
    <t>Nieuwe vliesgevel</t>
  </si>
  <si>
    <t>Zeecontainer (bewerken)</t>
  </si>
  <si>
    <t>Kozijn kosten</t>
  </si>
  <si>
    <t>Prijs p/eenheid</t>
  </si>
  <si>
    <t>Stuks</t>
  </si>
  <si>
    <t>Essenhout D40</t>
  </si>
  <si>
    <t>Dubbel deur bamboe x2</t>
  </si>
  <si>
    <t>Onderaanemer</t>
  </si>
  <si>
    <t>Restaurant</t>
  </si>
  <si>
    <t>Museum</t>
  </si>
  <si>
    <t>Vergader zaal</t>
  </si>
  <si>
    <t>Deel voor de wijk</t>
  </si>
  <si>
    <t>Tot. Kosten zonnepanelen</t>
  </si>
  <si>
    <t>Zonnepanelen</t>
  </si>
  <si>
    <t>OPP. 1</t>
  </si>
  <si>
    <t>OPP. 2</t>
  </si>
  <si>
    <t>M²</t>
  </si>
  <si>
    <t>KWH/m²</t>
  </si>
  <si>
    <t>Prijs zonnepanel m²</t>
  </si>
  <si>
    <t>Tot. prijs</t>
  </si>
  <si>
    <t>Tot. Verdienen/dag</t>
  </si>
  <si>
    <t>Opbrengst KWH</t>
  </si>
  <si>
    <t>Opbrengst KWH/dag</t>
  </si>
  <si>
    <t>Kosten terugverdient/jaar</t>
  </si>
  <si>
    <t>90% na 12 jaar en een vermogensgarantie van 80% na 25 jaar</t>
  </si>
  <si>
    <t xml:space="preserve">Kosten verdienen </t>
  </si>
  <si>
    <t>Na 12 jaar</t>
  </si>
  <si>
    <t>Na 25 jaar</t>
  </si>
  <si>
    <t>Kosten verdienen/jaar</t>
  </si>
  <si>
    <t>Zonnepanel vervangen</t>
  </si>
  <si>
    <t>Winst tot vervanging</t>
  </si>
  <si>
    <t>mm</t>
  </si>
  <si>
    <t>Dubbel deur staal</t>
  </si>
  <si>
    <t>gerecyceld hout</t>
  </si>
  <si>
    <t>hsb plaat</t>
  </si>
  <si>
    <t>Kozijnen kubus van kunsstof</t>
  </si>
  <si>
    <t>hennep kubus</t>
  </si>
  <si>
    <t>Isolatie (hennep)</t>
  </si>
  <si>
    <t>Tot. Verdient/jaar</t>
  </si>
  <si>
    <t>Verhuur tot. Prijs/jaar</t>
  </si>
  <si>
    <t>Electricitijd winst/jaar</t>
  </si>
  <si>
    <t>Bijkomende kosten</t>
  </si>
  <si>
    <t>Groene gedeelte (drijvend)</t>
  </si>
  <si>
    <t>Groene gevels</t>
  </si>
  <si>
    <t>Betonnen bak voor drijvende kubussen</t>
  </si>
  <si>
    <t>Buiten aanleg</t>
  </si>
  <si>
    <t>Buiten/binnen kubus</t>
  </si>
  <si>
    <t>Fietsenstalling/elec. Auto opladen</t>
  </si>
  <si>
    <t>Kosten m³</t>
  </si>
  <si>
    <t>M³</t>
  </si>
  <si>
    <t>Kosten tot.</t>
  </si>
  <si>
    <t>Onvoorziene</t>
  </si>
  <si>
    <t>Heffingskosten</t>
  </si>
  <si>
    <t>Ontwerp en advies</t>
  </si>
  <si>
    <t>Financieringskosten</t>
  </si>
  <si>
    <t>Aanloopkosten</t>
  </si>
  <si>
    <t>Installaties Alg. 20% bouwsom</t>
  </si>
  <si>
    <t>Subtotaal</t>
  </si>
  <si>
    <t>Kosten terug verdient in</t>
  </si>
  <si>
    <t>1. Kapper die pruiken maakt</t>
  </si>
  <si>
    <t>2. Voedselbank</t>
  </si>
  <si>
    <t>3. Deel-Bibliotheek</t>
  </si>
  <si>
    <t>4. Plaatselijke circulaire producten</t>
  </si>
  <si>
    <t>5. 3D printshop</t>
  </si>
  <si>
    <t>6. Flex plek Kubus</t>
  </si>
  <si>
    <t>Eerdere kosten 2010</t>
  </si>
  <si>
    <t>Nieuwe kosten ontwerp</t>
  </si>
  <si>
    <t>Uitgaven Gemeente Renovatie 2010</t>
  </si>
  <si>
    <t>Terug verdient huur (geschat)</t>
  </si>
  <si>
    <t>Tot. Kosten + oude kosten 2010</t>
  </si>
  <si>
    <t>Verloren kosten  2010 tot nu</t>
  </si>
  <si>
    <t>Geschatte winst na 20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</si>
</sst>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4" formatCode="_ &quot;€&quot;\ * #,##0.00_ ;_ &quot;€&quot;\ * \-#,##0.00_ ;_ &quot;€&quot;\ * &quot;-&quot;??_ ;_ @_ "/>
    <numFmt numFmtId="164" formatCode="0.0"/>
    <numFmt numFmtId="165" formatCode="0.00\ &quot;uur&quot;"/>
    <numFmt numFmtId="166" formatCode="0.00\ &quot;m²/uur&quot;"/>
    <numFmt numFmtId="167" formatCode="0.00\ &quot;uur tot.&quot;"/>
    <numFmt numFmtId="168" formatCode="0\ &quot;stuk&quot;"/>
    <numFmt numFmtId="169" formatCode="_-&quot;€&quot;\ * #,##0.00_-;_-&quot;€&quot;\ * #,##0.00\-;_-&quot;€&quot;\ * &quot;-&quot;??_-;_-@_-"/>
    <numFmt numFmtId="170" formatCode="&quot;€&quot;\ #,##0.00"/>
    <numFmt numFmtId="171" formatCode="0.00\ &quot;jaar&quot;"/>
    <numFmt numFmtId="172" formatCode="0\ &quot;m²&quot;"/>
    <numFmt numFmtId="173" formatCode="_ &quot;€&quot;\ * #,##0_ ;_ &quot;€&quot;\ * \-#,##0_ ;_ &quot;€&quot;\ * &quot;-&quot;??_ ;_ @_ "/>
    <numFmt numFmtId="174" formatCode="0.0000\ &quot;m²&quot;"/>
    <numFmt numFmtId="175" formatCode="0.000"/>
    <numFmt numFmtId="176" formatCode="0.0\ &quot;jaar&quot;"/>
    <numFmt numFmtId="177" formatCode="0\ &quot;jaar&quot;"/>
    <numFmt numFmtId="178" formatCode="&quot;€&quot;0.00\ &quot;per jaar&quot;"/>
  </numFmts>
  <fonts count="15" x14ac:knownFonts="1">
    <font>
      <sz val="11"/>
      <color theme="1"/>
      <name val="Calibri"/>
      <family val="2"/>
      <scheme val="minor"/>
    </font>
    <font>
      <sz val="11"/>
      <color theme="1"/>
      <name val="Calibri"/>
      <family val="2"/>
      <scheme val="minor"/>
    </font>
    <font>
      <sz val="9"/>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b/>
      <sz val="20"/>
      <color theme="1"/>
      <name val="Calibri"/>
      <family val="2"/>
      <scheme val="minor"/>
    </font>
    <font>
      <sz val="11"/>
      <color rgb="FF0D0D0D"/>
      <name val="Calibri"/>
      <family val="2"/>
      <scheme val="minor"/>
    </font>
    <font>
      <sz val="12"/>
      <color rgb="FF0D0D0D"/>
      <name val="Calibri"/>
      <family val="2"/>
      <scheme val="minor"/>
    </font>
    <font>
      <sz val="10"/>
      <name val="Arial"/>
    </font>
    <font>
      <b/>
      <sz val="11"/>
      <name val="Arial"/>
      <family val="2"/>
    </font>
    <font>
      <sz val="11"/>
      <name val="Arial"/>
      <family val="2"/>
    </font>
    <font>
      <sz val="10"/>
      <name val="Arial"/>
      <family val="2"/>
    </font>
    <font>
      <sz val="10"/>
      <color rgb="FF222222"/>
      <name val="Arial"/>
      <family val="2"/>
    </font>
    <font>
      <u/>
      <sz val="11"/>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99FF66"/>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99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DAD1"/>
        <bgColor indexed="64"/>
      </patternFill>
    </fill>
    <fill>
      <patternFill patternType="solid">
        <fgColor rgb="FFCEEAB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0" fontId="12" fillId="0" borderId="0"/>
    <xf numFmtId="169" fontId="9" fillId="0" borderId="0" applyFont="0" applyFill="0" applyBorder="0" applyAlignment="0" applyProtection="0"/>
  </cellStyleXfs>
  <cellXfs count="164">
    <xf numFmtId="0" fontId="0" fillId="0" borderId="0" xfId="0"/>
    <xf numFmtId="0" fontId="0" fillId="2" borderId="1" xfId="0" applyFill="1" applyBorder="1"/>
    <xf numFmtId="0" fontId="0" fillId="3" borderId="1" xfId="0" applyFill="1" applyBorder="1"/>
    <xf numFmtId="0" fontId="0" fillId="4" borderId="2" xfId="0" applyFill="1" applyBorder="1"/>
    <xf numFmtId="0" fontId="0" fillId="4" borderId="3" xfId="0" applyFill="1" applyBorder="1"/>
    <xf numFmtId="0" fontId="0" fillId="4" borderId="5" xfId="0" applyFill="1" applyBorder="1"/>
    <xf numFmtId="0" fontId="0" fillId="5" borderId="1" xfId="0" applyFill="1" applyBorder="1" applyAlignment="1">
      <alignment horizontal="left"/>
    </xf>
    <xf numFmtId="0" fontId="0" fillId="5" borderId="6" xfId="0" applyFill="1" applyBorder="1" applyAlignment="1">
      <alignment horizontal="left"/>
    </xf>
    <xf numFmtId="0" fontId="0" fillId="6" borderId="1" xfId="0" applyFill="1" applyBorder="1" applyAlignment="1">
      <alignment horizontal="left"/>
    </xf>
    <xf numFmtId="0" fontId="0" fillId="7" borderId="1" xfId="0" applyFill="1" applyBorder="1" applyAlignment="1">
      <alignment horizontal="left"/>
    </xf>
    <xf numFmtId="0" fontId="0" fillId="8" borderId="1" xfId="0" applyFill="1" applyBorder="1" applyAlignment="1">
      <alignment horizontal="left"/>
    </xf>
    <xf numFmtId="0" fontId="0" fillId="9" borderId="1" xfId="0" applyFill="1" applyBorder="1" applyAlignment="1">
      <alignment horizontal="left"/>
    </xf>
    <xf numFmtId="0" fontId="0" fillId="0" borderId="1" xfId="0" applyBorder="1"/>
    <xf numFmtId="0" fontId="0" fillId="9" borderId="1" xfId="0" applyFill="1" applyBorder="1"/>
    <xf numFmtId="0" fontId="0" fillId="10" borderId="1" xfId="0" applyFill="1" applyBorder="1" applyAlignment="1">
      <alignment horizontal="left"/>
    </xf>
    <xf numFmtId="0" fontId="0" fillId="10" borderId="0" xfId="0" applyFill="1"/>
    <xf numFmtId="0" fontId="0" fillId="11" borderId="1" xfId="0" applyFill="1" applyBorder="1" applyAlignment="1">
      <alignment horizontal="left"/>
    </xf>
    <xf numFmtId="44" fontId="0" fillId="6" borderId="1" xfId="1" applyFont="1" applyFill="1" applyBorder="1" applyAlignment="1">
      <alignment horizontal="left"/>
    </xf>
    <xf numFmtId="1" fontId="0" fillId="2" borderId="1" xfId="1" applyNumberFormat="1" applyFont="1" applyFill="1" applyBorder="1" applyAlignment="1">
      <alignment horizontal="right"/>
    </xf>
    <xf numFmtId="44" fontId="0" fillId="2" borderId="1" xfId="1" applyFont="1" applyFill="1" applyBorder="1" applyAlignment="1">
      <alignment horizontal="left"/>
    </xf>
    <xf numFmtId="44" fontId="0" fillId="11" borderId="1" xfId="1" applyFont="1" applyFill="1" applyBorder="1" applyAlignment="1">
      <alignment horizontal="left"/>
    </xf>
    <xf numFmtId="44" fontId="0" fillId="12" borderId="1" xfId="1" applyFont="1" applyFill="1" applyBorder="1" applyAlignment="1">
      <alignment horizontal="left"/>
    </xf>
    <xf numFmtId="44" fontId="0" fillId="12" borderId="1" xfId="0" applyNumberFormat="1" applyFill="1" applyBorder="1" applyAlignment="1">
      <alignment horizontal="left"/>
    </xf>
    <xf numFmtId="44" fontId="0" fillId="8" borderId="1" xfId="0" applyNumberFormat="1" applyFill="1" applyBorder="1" applyAlignment="1">
      <alignment horizontal="left"/>
    </xf>
    <xf numFmtId="0" fontId="0" fillId="6" borderId="1" xfId="0" applyFill="1" applyBorder="1"/>
    <xf numFmtId="44" fontId="0" fillId="10" borderId="1" xfId="0" applyNumberFormat="1" applyFill="1" applyBorder="1"/>
    <xf numFmtId="0" fontId="0" fillId="8" borderId="1" xfId="0" applyFill="1" applyBorder="1"/>
    <xf numFmtId="44" fontId="0" fillId="8" borderId="1" xfId="0" applyNumberFormat="1" applyFill="1" applyBorder="1"/>
    <xf numFmtId="44" fontId="0" fillId="0" borderId="1" xfId="1" applyFont="1" applyFill="1" applyBorder="1" applyAlignment="1">
      <alignment horizontal="left"/>
    </xf>
    <xf numFmtId="2" fontId="0" fillId="0" borderId="1" xfId="0" applyNumberFormat="1" applyBorder="1"/>
    <xf numFmtId="44" fontId="0" fillId="0" borderId="7" xfId="1" applyFont="1" applyFill="1" applyBorder="1" applyAlignment="1">
      <alignment horizontal="left"/>
    </xf>
    <xf numFmtId="0" fontId="0" fillId="6" borderId="7" xfId="0" applyFill="1" applyBorder="1"/>
    <xf numFmtId="0" fontId="0" fillId="6" borderId="2" xfId="0" applyFill="1" applyBorder="1"/>
    <xf numFmtId="0" fontId="2" fillId="5" borderId="8" xfId="0" applyFont="1" applyFill="1" applyBorder="1"/>
    <xf numFmtId="0" fontId="2" fillId="5" borderId="9" xfId="0" applyFont="1" applyFill="1" applyBorder="1"/>
    <xf numFmtId="0" fontId="2" fillId="5" borderId="10" xfId="0" applyFont="1" applyFill="1" applyBorder="1"/>
    <xf numFmtId="2" fontId="0" fillId="0" borderId="5" xfId="0" applyNumberFormat="1" applyBorder="1"/>
    <xf numFmtId="44" fontId="0" fillId="9" borderId="1" xfId="1" applyFont="1" applyFill="1" applyBorder="1" applyAlignment="1">
      <alignment horizontal="left"/>
    </xf>
    <xf numFmtId="0" fontId="0" fillId="9" borderId="6" xfId="0" applyFill="1" applyBorder="1"/>
    <xf numFmtId="0" fontId="0" fillId="0" borderId="11" xfId="0" applyBorder="1"/>
    <xf numFmtId="0" fontId="0" fillId="0" borderId="4" xfId="0" applyBorder="1"/>
    <xf numFmtId="0" fontId="0" fillId="0" borderId="12" xfId="0" applyBorder="1"/>
    <xf numFmtId="0" fontId="0" fillId="0" borderId="13" xfId="0" applyBorder="1"/>
    <xf numFmtId="0" fontId="0" fillId="0" borderId="0" xfId="0" applyBorder="1"/>
    <xf numFmtId="0" fontId="0" fillId="0" borderId="14" xfId="0" applyBorder="1"/>
    <xf numFmtId="0" fontId="0" fillId="0" borderId="0" xfId="0" applyFill="1" applyBorder="1"/>
    <xf numFmtId="164" fontId="0" fillId="8" borderId="1" xfId="0" applyNumberFormat="1" applyFill="1" applyBorder="1" applyAlignment="1">
      <alignment horizontal="left"/>
    </xf>
    <xf numFmtId="1" fontId="0" fillId="8" borderId="1" xfId="0" applyNumberFormat="1" applyFill="1" applyBorder="1" applyAlignment="1">
      <alignment horizontal="left"/>
    </xf>
    <xf numFmtId="0" fontId="0" fillId="6" borderId="6" xfId="0" applyFill="1" applyBorder="1" applyAlignment="1">
      <alignment horizontal="left"/>
    </xf>
    <xf numFmtId="0" fontId="0" fillId="7" borderId="1" xfId="0" applyFill="1" applyBorder="1"/>
    <xf numFmtId="0" fontId="0" fillId="5" borderId="1" xfId="0" applyFill="1" applyBorder="1"/>
    <xf numFmtId="0" fontId="0" fillId="11" borderId="1" xfId="0" applyFill="1" applyBorder="1"/>
    <xf numFmtId="44" fontId="0" fillId="0" borderId="1" xfId="1" applyFont="1" applyBorder="1"/>
    <xf numFmtId="0" fontId="0" fillId="11" borderId="1" xfId="0" applyFill="1" applyBorder="1" applyAlignment="1">
      <alignment horizontal="right" vertical="top"/>
    </xf>
    <xf numFmtId="0" fontId="0" fillId="11" borderId="1" xfId="0" applyFill="1" applyBorder="1" applyAlignment="1">
      <alignment horizontal="right"/>
    </xf>
    <xf numFmtId="44" fontId="0" fillId="0" borderId="1" xfId="0" applyNumberFormat="1" applyBorder="1"/>
    <xf numFmtId="44" fontId="0" fillId="2" borderId="1" xfId="1" applyFont="1" applyFill="1" applyBorder="1" applyAlignment="1"/>
    <xf numFmtId="44" fontId="0" fillId="2" borderId="1" xfId="0" applyNumberFormat="1" applyFill="1" applyBorder="1"/>
    <xf numFmtId="2" fontId="0" fillId="0" borderId="1" xfId="1" applyNumberFormat="1" applyFont="1" applyBorder="1"/>
    <xf numFmtId="1" fontId="0" fillId="0" borderId="1" xfId="1" applyNumberFormat="1" applyFont="1" applyBorder="1"/>
    <xf numFmtId="0" fontId="0" fillId="13" borderId="1" xfId="0" applyFill="1" applyBorder="1"/>
    <xf numFmtId="44" fontId="0" fillId="13" borderId="1" xfId="0" applyNumberFormat="1" applyFill="1" applyBorder="1"/>
    <xf numFmtId="44" fontId="0" fillId="13" borderId="1" xfId="1" applyFont="1" applyFill="1" applyBorder="1" applyAlignment="1"/>
    <xf numFmtId="1" fontId="0" fillId="2" borderId="1" xfId="0" applyNumberFormat="1" applyFill="1" applyBorder="1"/>
    <xf numFmtId="0" fontId="0" fillId="0" borderId="0" xfId="0" applyAlignment="1">
      <alignment vertical="center"/>
    </xf>
    <xf numFmtId="0" fontId="0" fillId="0" borderId="0" xfId="0" applyAlignment="1">
      <alignment horizontal="center"/>
    </xf>
    <xf numFmtId="164" fontId="0" fillId="0" borderId="1" xfId="0" applyNumberFormat="1" applyBorder="1"/>
    <xf numFmtId="44" fontId="0" fillId="0" borderId="0" xfId="0" applyNumberFormat="1" applyFill="1" applyBorder="1"/>
    <xf numFmtId="44" fontId="0" fillId="0" borderId="0" xfId="1" applyFont="1" applyFill="1" applyBorder="1"/>
    <xf numFmtId="44" fontId="0" fillId="13" borderId="1" xfId="1" applyFont="1" applyFill="1" applyBorder="1"/>
    <xf numFmtId="0" fontId="4" fillId="0" borderId="0" xfId="2"/>
    <xf numFmtId="0" fontId="0" fillId="0" borderId="13" xfId="0" applyFill="1" applyBorder="1"/>
    <xf numFmtId="0" fontId="0" fillId="0" borderId="15" xfId="0" applyBorder="1"/>
    <xf numFmtId="0" fontId="0" fillId="0" borderId="16" xfId="0" applyBorder="1"/>
    <xf numFmtId="0" fontId="0" fillId="0" borderId="17" xfId="0" applyBorder="1"/>
    <xf numFmtId="2" fontId="0" fillId="13" borderId="1" xfId="1" applyNumberFormat="1" applyFont="1" applyFill="1" applyBorder="1" applyAlignment="1"/>
    <xf numFmtId="2" fontId="0" fillId="13" borderId="1" xfId="0" applyNumberFormat="1" applyFill="1" applyBorder="1"/>
    <xf numFmtId="0" fontId="0" fillId="14" borderId="1" xfId="0" applyFill="1" applyBorder="1"/>
    <xf numFmtId="1" fontId="0" fillId="0" borderId="1" xfId="0" applyNumberFormat="1" applyBorder="1"/>
    <xf numFmtId="165" fontId="0" fillId="0" borderId="1" xfId="0" applyNumberFormat="1" applyBorder="1"/>
    <xf numFmtId="6" fontId="0" fillId="2" borderId="1" xfId="0" applyNumberFormat="1" applyFill="1" applyBorder="1"/>
    <xf numFmtId="166" fontId="0" fillId="0" borderId="1" xfId="0" applyNumberFormat="1" applyBorder="1"/>
    <xf numFmtId="167" fontId="0" fillId="0" borderId="1" xfId="0" applyNumberFormat="1" applyBorder="1"/>
    <xf numFmtId="168" fontId="0" fillId="13" borderId="1" xfId="1" applyNumberFormat="1" applyFont="1" applyFill="1" applyBorder="1" applyAlignment="1"/>
    <xf numFmtId="0" fontId="6" fillId="15" borderId="8" xfId="0" applyFont="1" applyFill="1" applyBorder="1"/>
    <xf numFmtId="0" fontId="0" fillId="15" borderId="9" xfId="0" applyFill="1" applyBorder="1"/>
    <xf numFmtId="0" fontId="0" fillId="15" borderId="10" xfId="0" applyFill="1" applyBorder="1"/>
    <xf numFmtId="44" fontId="0" fillId="2" borderId="1" xfId="1" applyFont="1" applyFill="1" applyBorder="1"/>
    <xf numFmtId="164" fontId="0" fillId="0" borderId="1" xfId="1" applyNumberFormat="1" applyFont="1" applyBorder="1"/>
    <xf numFmtId="164" fontId="0" fillId="13" borderId="1" xfId="1" applyNumberFormat="1" applyFont="1" applyFill="1" applyBorder="1" applyAlignment="1"/>
    <xf numFmtId="1" fontId="0" fillId="13" borderId="1" xfId="1" applyNumberFormat="1" applyFont="1" applyFill="1" applyBorder="1" applyAlignment="1"/>
    <xf numFmtId="2" fontId="0" fillId="5" borderId="1" xfId="0" applyNumberFormat="1" applyFill="1" applyBorder="1"/>
    <xf numFmtId="2" fontId="0" fillId="11" borderId="1" xfId="0" applyNumberFormat="1" applyFill="1" applyBorder="1"/>
    <xf numFmtId="2" fontId="0" fillId="2" borderId="1" xfId="1" applyNumberFormat="1" applyFont="1" applyFill="1" applyBorder="1" applyAlignment="1"/>
    <xf numFmtId="2" fontId="0" fillId="2" borderId="1" xfId="0" applyNumberFormat="1" applyFill="1" applyBorder="1"/>
    <xf numFmtId="2" fontId="0" fillId="0" borderId="0" xfId="0" applyNumberFormat="1" applyFill="1" applyBorder="1"/>
    <xf numFmtId="2" fontId="0" fillId="0" borderId="0" xfId="1" applyNumberFormat="1" applyFont="1" applyFill="1" applyBorder="1" applyAlignment="1"/>
    <xf numFmtId="164" fontId="0" fillId="0" borderId="0" xfId="1" applyNumberFormat="1" applyFont="1" applyFill="1" applyBorder="1" applyAlignment="1"/>
    <xf numFmtId="164" fontId="0" fillId="0" borderId="0" xfId="0" applyNumberFormat="1" applyFill="1" applyBorder="1"/>
    <xf numFmtId="164" fontId="0" fillId="0" borderId="0" xfId="1" applyNumberFormat="1" applyFont="1" applyFill="1" applyBorder="1"/>
    <xf numFmtId="2" fontId="0" fillId="0" borderId="0" xfId="1" applyNumberFormat="1" applyFont="1" applyFill="1" applyBorder="1"/>
    <xf numFmtId="0" fontId="7" fillId="0" borderId="0" xfId="0" applyFont="1"/>
    <xf numFmtId="0" fontId="8" fillId="0" borderId="0" xfId="0" applyFont="1"/>
    <xf numFmtId="0" fontId="11" fillId="0" borderId="1" xfId="5" applyFont="1" applyBorder="1" applyAlignment="1">
      <alignment horizontal="center" vertical="center"/>
    </xf>
    <xf numFmtId="0" fontId="11" fillId="0" borderId="6" xfId="5" applyFont="1" applyBorder="1" applyAlignment="1">
      <alignment horizontal="center" vertical="center"/>
    </xf>
    <xf numFmtId="0" fontId="10" fillId="16" borderId="26" xfId="5" applyFont="1" applyFill="1" applyBorder="1" applyAlignment="1">
      <alignment vertical="center"/>
    </xf>
    <xf numFmtId="0" fontId="11" fillId="0" borderId="1" xfId="5" applyFont="1" applyBorder="1" applyAlignment="1">
      <alignment horizontal="left" vertical="center"/>
    </xf>
    <xf numFmtId="0" fontId="0" fillId="16" borderId="9" xfId="0" applyFill="1" applyBorder="1"/>
    <xf numFmtId="0" fontId="0" fillId="16" borderId="25" xfId="0" applyFill="1" applyBorder="1"/>
    <xf numFmtId="170" fontId="0" fillId="16" borderId="25" xfId="0" applyNumberFormat="1" applyFill="1" applyBorder="1"/>
    <xf numFmtId="170" fontId="0" fillId="16" borderId="31" xfId="0" applyNumberFormat="1" applyFill="1" applyBorder="1"/>
    <xf numFmtId="0" fontId="12" fillId="0" borderId="6" xfId="0" applyFont="1" applyBorder="1"/>
    <xf numFmtId="0" fontId="0" fillId="0" borderId="6" xfId="0" applyBorder="1"/>
    <xf numFmtId="170" fontId="0" fillId="0" borderId="6" xfId="0" applyNumberFormat="1" applyBorder="1"/>
    <xf numFmtId="0" fontId="12" fillId="0" borderId="1" xfId="0" applyFont="1" applyBorder="1"/>
    <xf numFmtId="170" fontId="0" fillId="0" borderId="1" xfId="0" applyNumberFormat="1" applyBorder="1"/>
    <xf numFmtId="0" fontId="11" fillId="0" borderId="4"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4" xfId="0" applyFont="1" applyBorder="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9" xfId="0" applyFont="1" applyBorder="1" applyAlignment="1">
      <alignment horizontal="center" vertical="center"/>
    </xf>
    <xf numFmtId="0" fontId="11" fillId="0" borderId="27" xfId="0" applyFont="1" applyBorder="1" applyAlignment="1">
      <alignment horizontal="center" vertical="center"/>
    </xf>
    <xf numFmtId="0" fontId="11" fillId="0" borderId="22"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0" xfId="0" applyFont="1" applyBorder="1" applyAlignment="1">
      <alignmen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18" xfId="0" applyFont="1" applyBorder="1" applyAlignment="1">
      <alignment horizontal="center" vertical="center"/>
    </xf>
    <xf numFmtId="0" fontId="11" fillId="0" borderId="30"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11" fillId="0" borderId="24" xfId="0" applyFont="1" applyFill="1" applyBorder="1" applyAlignment="1">
      <alignment horizontal="center" vertical="center"/>
    </xf>
    <xf numFmtId="170" fontId="0" fillId="0" borderId="0" xfId="0" applyNumberFormat="1"/>
    <xf numFmtId="0" fontId="0" fillId="0" borderId="1" xfId="0" applyBorder="1" applyAlignment="1">
      <alignment vertical="center"/>
    </xf>
    <xf numFmtId="0" fontId="11" fillId="5" borderId="6" xfId="5" applyFont="1" applyFill="1" applyBorder="1" applyAlignment="1">
      <alignment horizontal="left" vertical="center"/>
    </xf>
    <xf numFmtId="0" fontId="11" fillId="5" borderId="1" xfId="5" applyFont="1" applyFill="1" applyBorder="1" applyAlignment="1">
      <alignment horizontal="left" vertical="center"/>
    </xf>
    <xf numFmtId="171" fontId="0" fillId="0" borderId="5" xfId="0" applyNumberFormat="1" applyBorder="1"/>
    <xf numFmtId="44" fontId="0" fillId="2" borderId="1" xfId="1" applyNumberFormat="1" applyFont="1" applyFill="1" applyBorder="1" applyAlignment="1">
      <alignment horizontal="center"/>
    </xf>
    <xf numFmtId="44" fontId="0" fillId="0" borderId="1" xfId="1" applyNumberFormat="1" applyFont="1" applyBorder="1"/>
    <xf numFmtId="174" fontId="0" fillId="2" borderId="1" xfId="1" applyNumberFormat="1" applyFont="1" applyFill="1" applyBorder="1" applyAlignment="1"/>
    <xf numFmtId="175" fontId="0" fillId="0" borderId="1" xfId="0" applyNumberFormat="1" applyBorder="1"/>
    <xf numFmtId="172" fontId="0" fillId="13" borderId="1" xfId="1" applyNumberFormat="1" applyFont="1" applyFill="1" applyBorder="1" applyAlignment="1"/>
    <xf numFmtId="176" fontId="0" fillId="0" borderId="1" xfId="1" applyNumberFormat="1" applyFont="1" applyBorder="1"/>
    <xf numFmtId="0" fontId="13" fillId="0" borderId="0" xfId="0" applyFont="1"/>
    <xf numFmtId="177" fontId="0" fillId="2" borderId="1" xfId="0" applyNumberFormat="1" applyFill="1" applyBorder="1"/>
    <xf numFmtId="178" fontId="0" fillId="0" borderId="1" xfId="1" applyNumberFormat="1" applyFont="1" applyBorder="1"/>
    <xf numFmtId="173" fontId="0" fillId="0" borderId="1" xfId="0" applyNumberFormat="1" applyBorder="1"/>
    <xf numFmtId="0" fontId="14" fillId="8" borderId="1" xfId="0" applyFont="1" applyFill="1" applyBorder="1" applyAlignment="1">
      <alignment horizontal="left"/>
    </xf>
    <xf numFmtId="165" fontId="0" fillId="2" borderId="1" xfId="0" applyNumberFormat="1" applyFill="1" applyBorder="1"/>
    <xf numFmtId="2" fontId="0" fillId="17" borderId="1" xfId="0" applyNumberFormat="1" applyFill="1" applyBorder="1"/>
    <xf numFmtId="10" fontId="0" fillId="0" borderId="1" xfId="0" applyNumberFormat="1" applyBorder="1"/>
    <xf numFmtId="10" fontId="0" fillId="0" borderId="1" xfId="1" applyNumberFormat="1" applyFont="1" applyBorder="1"/>
    <xf numFmtId="10" fontId="0" fillId="2" borderId="1" xfId="0" applyNumberFormat="1" applyFill="1" applyBorder="1"/>
    <xf numFmtId="0" fontId="0" fillId="17" borderId="1" xfId="0" applyFill="1" applyBorder="1"/>
    <xf numFmtId="176" fontId="0" fillId="2" borderId="1" xfId="1" applyNumberFormat="1" applyFont="1" applyFill="1" applyBorder="1" applyAlignment="1"/>
    <xf numFmtId="44" fontId="0" fillId="18" borderId="1" xfId="1" applyFont="1" applyFill="1" applyBorder="1" applyAlignment="1"/>
    <xf numFmtId="44" fontId="0" fillId="19" borderId="1" xfId="1" applyFont="1" applyFill="1" applyBorder="1" applyAlignment="1"/>
    <xf numFmtId="44" fontId="0" fillId="18" borderId="1" xfId="1" applyFont="1" applyFill="1" applyBorder="1"/>
  </cellXfs>
  <cellStyles count="7">
    <cellStyle name="Hyperlink" xfId="2" builtinId="8"/>
    <cellStyle name="Procent 2" xfId="4" xr:uid="{D196D5AD-3FD1-4F5C-BE0C-682696D42F70}"/>
    <cellStyle name="Standaard" xfId="0" builtinId="0"/>
    <cellStyle name="Standaard 2" xfId="5" xr:uid="{A7BC4397-F091-4E39-8292-B0C1709B36C8}"/>
    <cellStyle name="Standaard 3" xfId="3" xr:uid="{06149A7F-9F48-4944-A3E9-195702DFCB85}"/>
    <cellStyle name="Valuta" xfId="1" builtinId="4"/>
    <cellStyle name="Valuta 2" xfId="6" xr:uid="{A82C3730-E0A9-4E17-A7CC-B816D036F86E}"/>
  </cellStyles>
  <dxfs count="0"/>
  <tableStyles count="0" defaultTableStyle="TableStyleMedium2" defaultPivotStyle="PivotStyleLight16"/>
  <colors>
    <mruColors>
      <color rgb="FFCEEAB0"/>
      <color rgb="FFFFDAD1"/>
      <color rgb="FFFFA48F"/>
      <color rgb="FFFF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81</xdr:col>
      <xdr:colOff>29392</xdr:colOff>
      <xdr:row>4</xdr:row>
      <xdr:rowOff>102325</xdr:rowOff>
    </xdr:from>
    <xdr:to>
      <xdr:col>91</xdr:col>
      <xdr:colOff>151312</xdr:colOff>
      <xdr:row>22</xdr:row>
      <xdr:rowOff>170906</xdr:rowOff>
    </xdr:to>
    <xdr:pic>
      <xdr:nvPicPr>
        <xdr:cNvPr id="2" name="Afbeelding 1" descr="https://cdn.discordapp.com/attachments/367632072468070400/575210906447904769/unknown.png">
          <a:extLst>
            <a:ext uri="{FF2B5EF4-FFF2-40B4-BE49-F238E27FC236}">
              <a16:creationId xmlns:a16="http://schemas.microsoft.com/office/drawing/2014/main" id="{1B14700A-47F3-480B-85F3-7509DF28B4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7478" y="842554"/>
          <a:ext cx="6217920" cy="3399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124160</xdr:colOff>
      <xdr:row>4</xdr:row>
      <xdr:rowOff>22860</xdr:rowOff>
    </xdr:from>
    <xdr:to>
      <xdr:col>22</xdr:col>
      <xdr:colOff>79069</xdr:colOff>
      <xdr:row>22</xdr:row>
      <xdr:rowOff>26893</xdr:rowOff>
    </xdr:to>
    <xdr:pic>
      <xdr:nvPicPr>
        <xdr:cNvPr id="2" name="Afbeelding 1" descr="https://cdn.discordapp.com/attachments/367632072468070400/575210906447904769/unknown.png">
          <a:extLst>
            <a:ext uri="{FF2B5EF4-FFF2-40B4-BE49-F238E27FC236}">
              <a16:creationId xmlns:a16="http://schemas.microsoft.com/office/drawing/2014/main" id="{42653213-2531-4945-BEDC-0E47D02D41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3078" y="740036"/>
          <a:ext cx="6217920" cy="323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43543</xdr:colOff>
      <xdr:row>2</xdr:row>
      <xdr:rowOff>174172</xdr:rowOff>
    </xdr:from>
    <xdr:to>
      <xdr:col>23</xdr:col>
      <xdr:colOff>165463</xdr:colOff>
      <xdr:row>21</xdr:row>
      <xdr:rowOff>57695</xdr:rowOff>
    </xdr:to>
    <xdr:pic>
      <xdr:nvPicPr>
        <xdr:cNvPr id="2" name="Afbeelding 1" descr="https://cdn.discordapp.com/attachments/367632072468070400/575210906447904769/unknown.png">
          <a:extLst>
            <a:ext uri="{FF2B5EF4-FFF2-40B4-BE49-F238E27FC236}">
              <a16:creationId xmlns:a16="http://schemas.microsoft.com/office/drawing/2014/main" id="{D9186868-459E-4B6B-AAC1-4653DA698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46086" y="544286"/>
          <a:ext cx="6217920" cy="3399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584563</xdr:colOff>
      <xdr:row>7</xdr:row>
      <xdr:rowOff>4354</xdr:rowOff>
    </xdr:from>
    <xdr:to>
      <xdr:col>22</xdr:col>
      <xdr:colOff>423454</xdr:colOff>
      <xdr:row>25</xdr:row>
      <xdr:rowOff>48688</xdr:rowOff>
    </xdr:to>
    <xdr:pic>
      <xdr:nvPicPr>
        <xdr:cNvPr id="2" name="Afbeelding 1" descr="https://cdn.discordapp.com/attachments/367632072468070400/575210906447904769/unknown.png">
          <a:extLst>
            <a:ext uri="{FF2B5EF4-FFF2-40B4-BE49-F238E27FC236}">
              <a16:creationId xmlns:a16="http://schemas.microsoft.com/office/drawing/2014/main" id="{72AF7E8A-6208-4AA7-9800-83D709ADE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7877" y="1299754"/>
          <a:ext cx="6217920" cy="3375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27709</xdr:colOff>
      <xdr:row>2</xdr:row>
      <xdr:rowOff>27709</xdr:rowOff>
    </xdr:from>
    <xdr:to>
      <xdr:col>28</xdr:col>
      <xdr:colOff>609042</xdr:colOff>
      <xdr:row>20</xdr:row>
      <xdr:rowOff>31741</xdr:rowOff>
    </xdr:to>
    <xdr:pic>
      <xdr:nvPicPr>
        <xdr:cNvPr id="2" name="Afbeelding 1" descr="https://cdn.discordapp.com/attachments/367632072468070400/575210906447904769/unknown.png">
          <a:extLst>
            <a:ext uri="{FF2B5EF4-FFF2-40B4-BE49-F238E27FC236}">
              <a16:creationId xmlns:a16="http://schemas.microsoft.com/office/drawing/2014/main" id="{F76581A6-6C77-4575-A9E6-F26523D9E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47127" y="401782"/>
          <a:ext cx="6247842" cy="3245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21963</xdr:colOff>
      <xdr:row>1</xdr:row>
      <xdr:rowOff>17481</xdr:rowOff>
    </xdr:from>
    <xdr:to>
      <xdr:col>22</xdr:col>
      <xdr:colOff>143883</xdr:colOff>
      <xdr:row>19</xdr:row>
      <xdr:rowOff>21517</xdr:rowOff>
    </xdr:to>
    <xdr:pic>
      <xdr:nvPicPr>
        <xdr:cNvPr id="2" name="Afbeelding 1" descr="https://cdn.discordapp.com/attachments/367632072468070400/575210906447904769/unknown.png">
          <a:extLst>
            <a:ext uri="{FF2B5EF4-FFF2-40B4-BE49-F238E27FC236}">
              <a16:creationId xmlns:a16="http://schemas.microsoft.com/office/drawing/2014/main" id="{5203EE6A-5430-40C3-AF77-E8C6F8AF4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6951" y="196775"/>
          <a:ext cx="6217920" cy="3231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2</xdr:row>
      <xdr:rowOff>8965</xdr:rowOff>
    </xdr:from>
    <xdr:to>
      <xdr:col>20</xdr:col>
      <xdr:colOff>121920</xdr:colOff>
      <xdr:row>19</xdr:row>
      <xdr:rowOff>131335</xdr:rowOff>
    </xdr:to>
    <xdr:pic>
      <xdr:nvPicPr>
        <xdr:cNvPr id="2" name="Afbeelding 1" descr="https://cdn.discordapp.com/attachments/367632072468070400/575210906447904769/unknown.png">
          <a:extLst>
            <a:ext uri="{FF2B5EF4-FFF2-40B4-BE49-F238E27FC236}">
              <a16:creationId xmlns:a16="http://schemas.microsoft.com/office/drawing/2014/main" id="{DBA30F99-5785-43F5-9435-BF59E762F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7459" y="367553"/>
          <a:ext cx="6217920" cy="3170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paints-shop.com/copperant-quattro-lakverf-hoogglans-uv.html"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hyperlink" Target="https://www.greenpaints-shop.com/copperant-quattro-lakverf-hoogglans-uv.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0C96-9799-4CDD-BE87-2B44E9DC8949}">
  <dimension ref="B2:CE110"/>
  <sheetViews>
    <sheetView zoomScale="55" zoomScaleNormal="55" workbookViewId="0">
      <selection activeCell="I20" sqref="I20:I21"/>
    </sheetView>
  </sheetViews>
  <sheetFormatPr defaultRowHeight="14.4" x14ac:dyDescent="0.3"/>
  <cols>
    <col min="2" max="2" width="41.109375" customWidth="1"/>
    <col min="3" max="3" width="12.5546875" customWidth="1"/>
    <col min="4" max="4" width="22.44140625" bestFit="1" customWidth="1"/>
    <col min="5" max="5" width="19.6640625" customWidth="1"/>
    <col min="6" max="6" width="18.109375" customWidth="1"/>
    <col min="7" max="7" width="16.88671875" bestFit="1" customWidth="1"/>
    <col min="8" max="8" width="25.5546875" customWidth="1"/>
    <col min="9" max="9" width="14.77734375" bestFit="1" customWidth="1"/>
    <col min="10" max="10" width="20.44140625" bestFit="1" customWidth="1"/>
    <col min="11" max="11" width="14.33203125" customWidth="1"/>
    <col min="19" max="19" width="8.88671875" customWidth="1"/>
    <col min="21" max="24" width="8.88671875" customWidth="1"/>
  </cols>
  <sheetData>
    <row r="2" spans="2:83" x14ac:dyDescent="0.3">
      <c r="CD2" t="s">
        <v>2</v>
      </c>
      <c r="CE2">
        <v>10000</v>
      </c>
    </row>
    <row r="3" spans="2:83" x14ac:dyDescent="0.3">
      <c r="B3" s="49" t="s">
        <v>64</v>
      </c>
      <c r="C3" s="50"/>
      <c r="D3" s="50"/>
      <c r="E3" s="50" t="s">
        <v>3</v>
      </c>
      <c r="F3" s="50" t="s">
        <v>4</v>
      </c>
      <c r="G3" s="50" t="s">
        <v>2</v>
      </c>
      <c r="H3" s="50" t="s">
        <v>14</v>
      </c>
      <c r="I3" s="50" t="s">
        <v>88</v>
      </c>
      <c r="J3" s="50" t="s">
        <v>89</v>
      </c>
      <c r="K3" s="50" t="s">
        <v>85</v>
      </c>
      <c r="CD3" t="s">
        <v>3</v>
      </c>
      <c r="CE3">
        <v>8000</v>
      </c>
    </row>
    <row r="4" spans="2:83" x14ac:dyDescent="0.3">
      <c r="B4" s="50"/>
      <c r="C4" s="51"/>
      <c r="D4" s="56"/>
      <c r="E4" s="1"/>
      <c r="F4" s="1"/>
      <c r="G4" s="63"/>
      <c r="H4" s="1"/>
      <c r="I4" s="57"/>
      <c r="J4" s="1"/>
      <c r="K4" s="1"/>
      <c r="CD4" t="s">
        <v>4</v>
      </c>
      <c r="CE4">
        <v>3850</v>
      </c>
    </row>
    <row r="5" spans="2:83" x14ac:dyDescent="0.3">
      <c r="B5" s="50" t="s">
        <v>52</v>
      </c>
      <c r="C5" s="51"/>
      <c r="D5" s="62"/>
      <c r="E5" s="12">
        <v>10</v>
      </c>
      <c r="F5" s="58">
        <v>3.85</v>
      </c>
      <c r="G5" s="59">
        <v>0</v>
      </c>
      <c r="H5" s="60">
        <f>E5*F5</f>
        <v>38.5</v>
      </c>
      <c r="I5" s="61"/>
      <c r="J5" s="12"/>
      <c r="K5" s="55">
        <f>H5*J$48</f>
        <v>8739.5</v>
      </c>
    </row>
    <row r="6" spans="2:83" x14ac:dyDescent="0.3">
      <c r="B6" s="50" t="s">
        <v>53</v>
      </c>
      <c r="C6" s="53"/>
      <c r="D6" s="62"/>
      <c r="E6" s="12">
        <v>8</v>
      </c>
      <c r="F6" s="58">
        <v>3.85</v>
      </c>
      <c r="G6" s="59">
        <v>0</v>
      </c>
      <c r="H6" s="60">
        <f>E6*F6</f>
        <v>30.8</v>
      </c>
      <c r="I6" s="69"/>
      <c r="J6" s="12"/>
      <c r="K6" s="55">
        <f>H6*J$48</f>
        <v>6991.6</v>
      </c>
    </row>
    <row r="7" spans="2:83" x14ac:dyDescent="0.3">
      <c r="B7" s="50" t="s">
        <v>54</v>
      </c>
      <c r="C7" s="54"/>
      <c r="D7" s="62"/>
      <c r="E7" s="12">
        <v>10</v>
      </c>
      <c r="F7" s="58">
        <v>3.85</v>
      </c>
      <c r="G7" s="59">
        <v>0</v>
      </c>
      <c r="H7" s="60">
        <f>E7*F7</f>
        <v>38.5</v>
      </c>
      <c r="I7" s="69"/>
      <c r="J7" s="12"/>
      <c r="K7" s="55">
        <f>H7*J$48</f>
        <v>8739.5</v>
      </c>
    </row>
    <row r="8" spans="2:83" x14ac:dyDescent="0.3">
      <c r="B8" s="50" t="s">
        <v>55</v>
      </c>
      <c r="C8" s="51"/>
      <c r="D8" s="62"/>
      <c r="E8" s="12">
        <v>8</v>
      </c>
      <c r="F8" s="58">
        <v>3.85</v>
      </c>
      <c r="G8" s="59">
        <v>0</v>
      </c>
      <c r="H8" s="60">
        <f>E8*F8</f>
        <v>30.8</v>
      </c>
      <c r="I8" s="69"/>
      <c r="J8" s="12"/>
      <c r="K8" s="55">
        <f>H8*J$48</f>
        <v>6991.6</v>
      </c>
    </row>
    <row r="9" spans="2:83" x14ac:dyDescent="0.3">
      <c r="B9" s="50" t="s">
        <v>59</v>
      </c>
      <c r="C9" s="51"/>
      <c r="D9" s="55"/>
      <c r="E9" s="12">
        <v>10</v>
      </c>
      <c r="F9" s="58">
        <v>0</v>
      </c>
      <c r="G9" s="59">
        <v>8</v>
      </c>
      <c r="H9" s="12">
        <f>E9*G9</f>
        <v>80</v>
      </c>
      <c r="I9" s="55">
        <f>H9*J58</f>
        <v>20960</v>
      </c>
      <c r="J9" s="12"/>
      <c r="K9" s="12"/>
    </row>
    <row r="10" spans="2:83" x14ac:dyDescent="0.3">
      <c r="B10" s="50" t="s">
        <v>60</v>
      </c>
      <c r="C10" s="51"/>
      <c r="D10" s="55"/>
      <c r="E10" s="12">
        <v>10</v>
      </c>
      <c r="F10" s="58">
        <v>0</v>
      </c>
      <c r="G10" s="59">
        <v>8</v>
      </c>
      <c r="H10" s="12">
        <f>E10*G10</f>
        <v>80</v>
      </c>
      <c r="I10" s="55">
        <f>H10*J67</f>
        <v>13200</v>
      </c>
      <c r="J10" s="12"/>
      <c r="K10" s="12"/>
    </row>
    <row r="11" spans="2:83" x14ac:dyDescent="0.3">
      <c r="B11" s="50" t="s">
        <v>63</v>
      </c>
      <c r="C11" s="51"/>
      <c r="D11" s="55"/>
      <c r="E11" s="12"/>
      <c r="F11" s="12"/>
      <c r="G11" s="12"/>
      <c r="H11" s="12"/>
      <c r="I11" s="52">
        <v>5000</v>
      </c>
      <c r="J11" s="12"/>
      <c r="K11" s="12"/>
    </row>
    <row r="12" spans="2:83" x14ac:dyDescent="0.3">
      <c r="B12" s="50" t="s">
        <v>76</v>
      </c>
      <c r="C12" s="51"/>
      <c r="D12" s="12"/>
      <c r="E12" s="52"/>
      <c r="F12" s="12"/>
      <c r="G12" s="12"/>
      <c r="H12" s="66">
        <f>H77+H78</f>
        <v>21.192</v>
      </c>
      <c r="I12" s="52"/>
      <c r="J12" s="55">
        <f>H12+(2*2.4)*J48</f>
        <v>1110.7919999999999</v>
      </c>
      <c r="K12" s="12"/>
    </row>
    <row r="13" spans="2:83" x14ac:dyDescent="0.3">
      <c r="B13" s="50" t="s">
        <v>87</v>
      </c>
      <c r="C13" s="51"/>
      <c r="D13" s="55"/>
      <c r="E13" s="12"/>
      <c r="F13" s="52"/>
      <c r="G13" s="52"/>
      <c r="H13" s="12"/>
      <c r="I13" s="52">
        <v>500</v>
      </c>
      <c r="J13" s="12"/>
      <c r="K13" s="12"/>
    </row>
    <row r="14" spans="2:83" x14ac:dyDescent="0.3">
      <c r="B14" s="50" t="s">
        <v>204</v>
      </c>
      <c r="C14" s="51"/>
      <c r="D14" s="12"/>
      <c r="E14" s="12"/>
      <c r="F14" s="12"/>
      <c r="G14" s="12"/>
      <c r="H14" s="12"/>
      <c r="I14" s="52">
        <f>H92</f>
        <v>4295.0720000000001</v>
      </c>
      <c r="J14" s="12"/>
      <c r="K14" s="55"/>
    </row>
    <row r="15" spans="2:83" x14ac:dyDescent="0.3">
      <c r="B15" s="50"/>
      <c r="C15" s="51"/>
      <c r="D15" s="12"/>
      <c r="E15" s="12"/>
      <c r="F15" s="12"/>
      <c r="G15" s="12"/>
      <c r="H15" s="12"/>
      <c r="I15" s="52"/>
      <c r="J15" s="12"/>
      <c r="K15" s="55">
        <f>SUM(I5:I14)+SUM(K5:K14)-SUM(J5:J14)</f>
        <v>74306.48</v>
      </c>
    </row>
    <row r="17" spans="2:11" x14ac:dyDescent="0.3">
      <c r="B17" s="49" t="s">
        <v>120</v>
      </c>
      <c r="C17" s="50"/>
      <c r="D17" s="50" t="s">
        <v>14</v>
      </c>
      <c r="E17" s="50" t="s">
        <v>126</v>
      </c>
      <c r="F17" s="50" t="s">
        <v>110</v>
      </c>
      <c r="G17" s="50" t="s">
        <v>109</v>
      </c>
      <c r="H17" s="50" t="s">
        <v>127</v>
      </c>
    </row>
    <row r="18" spans="2:11" x14ac:dyDescent="0.3">
      <c r="B18" s="50"/>
      <c r="C18" s="51"/>
      <c r="D18" s="56"/>
      <c r="E18" s="1"/>
      <c r="F18" s="1"/>
      <c r="G18" s="80">
        <v>40</v>
      </c>
      <c r="H18" s="1"/>
    </row>
    <row r="19" spans="2:11" x14ac:dyDescent="0.3">
      <c r="B19" s="50" t="s">
        <v>121</v>
      </c>
      <c r="C19" s="51"/>
      <c r="D19" s="75">
        <f>SUM(H5:H8)</f>
        <v>138.6</v>
      </c>
      <c r="E19" s="81">
        <f>0.8</f>
        <v>0.8</v>
      </c>
      <c r="F19" s="79">
        <f t="shared" ref="F19:F26" si="0">E19*D19</f>
        <v>110.88</v>
      </c>
      <c r="G19" s="52">
        <f>F19*G$18</f>
        <v>4435.2</v>
      </c>
      <c r="H19" s="12"/>
    </row>
    <row r="20" spans="2:11" x14ac:dyDescent="0.3">
      <c r="B20" s="50" t="s">
        <v>59</v>
      </c>
      <c r="C20" s="53"/>
      <c r="D20" s="75">
        <f>H9</f>
        <v>80</v>
      </c>
      <c r="E20" s="81">
        <f>0.6</f>
        <v>0.6</v>
      </c>
      <c r="F20" s="79">
        <f t="shared" si="0"/>
        <v>48</v>
      </c>
      <c r="G20" s="52">
        <f>F20*G$18</f>
        <v>1920</v>
      </c>
      <c r="H20" s="12"/>
    </row>
    <row r="21" spans="2:11" x14ac:dyDescent="0.3">
      <c r="B21" s="50" t="s">
        <v>60</v>
      </c>
      <c r="C21" s="54"/>
      <c r="D21" s="75">
        <f>H10</f>
        <v>80</v>
      </c>
      <c r="E21" s="81">
        <f>0.4</f>
        <v>0.4</v>
      </c>
      <c r="F21" s="79">
        <f t="shared" si="0"/>
        <v>32</v>
      </c>
      <c r="G21" s="52">
        <f>F21*G$18</f>
        <v>1280</v>
      </c>
      <c r="H21" s="12"/>
    </row>
    <row r="22" spans="2:11" x14ac:dyDescent="0.3">
      <c r="B22" s="50" t="s">
        <v>63</v>
      </c>
      <c r="C22" s="51"/>
      <c r="D22" s="83">
        <v>1</v>
      </c>
      <c r="E22" s="82">
        <v>15</v>
      </c>
      <c r="F22" s="79">
        <f t="shared" si="0"/>
        <v>15</v>
      </c>
      <c r="G22" s="52">
        <f>F22*G$18</f>
        <v>600</v>
      </c>
      <c r="H22" s="12"/>
    </row>
    <row r="23" spans="2:11" x14ac:dyDescent="0.3">
      <c r="B23" s="50" t="s">
        <v>122</v>
      </c>
      <c r="C23" s="51"/>
      <c r="D23" s="83">
        <v>20</v>
      </c>
      <c r="E23" s="81">
        <v>1.5</v>
      </c>
      <c r="F23" s="79">
        <f t="shared" si="0"/>
        <v>30</v>
      </c>
      <c r="G23" s="52">
        <f>F23*G$18</f>
        <v>1200</v>
      </c>
      <c r="H23" s="12"/>
    </row>
    <row r="24" spans="2:11" x14ac:dyDescent="0.3">
      <c r="B24" s="50" t="s">
        <v>123</v>
      </c>
      <c r="C24" s="51"/>
      <c r="D24" s="83">
        <v>1</v>
      </c>
      <c r="E24" s="81">
        <v>1.5</v>
      </c>
      <c r="F24" s="79">
        <f t="shared" si="0"/>
        <v>1.5</v>
      </c>
      <c r="G24" s="52">
        <f>F24*G$18</f>
        <v>60</v>
      </c>
      <c r="H24" s="55"/>
    </row>
    <row r="25" spans="2:11" x14ac:dyDescent="0.3">
      <c r="B25" s="50" t="s">
        <v>124</v>
      </c>
      <c r="C25" s="51"/>
      <c r="D25" s="83">
        <v>20</v>
      </c>
      <c r="E25" s="81">
        <f>0.2</f>
        <v>0.2</v>
      </c>
      <c r="F25" s="79">
        <f t="shared" si="0"/>
        <v>4</v>
      </c>
      <c r="G25" s="52">
        <f>F25*G$18</f>
        <v>160</v>
      </c>
      <c r="H25" s="55"/>
    </row>
    <row r="26" spans="2:11" x14ac:dyDescent="0.3">
      <c r="B26" s="50" t="s">
        <v>125</v>
      </c>
      <c r="C26" s="51"/>
      <c r="D26" s="83">
        <v>1</v>
      </c>
      <c r="E26" s="81">
        <v>1.5</v>
      </c>
      <c r="F26" s="79">
        <f t="shared" si="0"/>
        <v>1.5</v>
      </c>
      <c r="G26" s="52">
        <f>F26*G$18</f>
        <v>60</v>
      </c>
      <c r="H26" s="55"/>
    </row>
    <row r="27" spans="2:11" x14ac:dyDescent="0.3">
      <c r="B27" s="50"/>
      <c r="C27" s="51"/>
      <c r="D27" s="83"/>
      <c r="E27" s="81"/>
      <c r="F27" s="79"/>
      <c r="G27" s="52"/>
      <c r="H27" s="55">
        <f>SUM(G19:G26)</f>
        <v>9715.2000000000007</v>
      </c>
      <c r="K27" s="45"/>
    </row>
    <row r="28" spans="2:11" x14ac:dyDescent="0.3">
      <c r="K28" s="45"/>
    </row>
    <row r="29" spans="2:11" x14ac:dyDescent="0.3">
      <c r="H29" s="50" t="s">
        <v>127</v>
      </c>
    </row>
    <row r="30" spans="2:11" x14ac:dyDescent="0.3">
      <c r="H30" s="57">
        <f>K15+H27</f>
        <v>84021.68</v>
      </c>
    </row>
    <row r="33" spans="2:11" ht="15" thickBot="1" x14ac:dyDescent="0.35"/>
    <row r="34" spans="2:11" ht="26.4" thickBot="1" x14ac:dyDescent="0.55000000000000004">
      <c r="B34" s="84" t="s">
        <v>128</v>
      </c>
      <c r="C34" s="85"/>
      <c r="D34" s="85"/>
      <c r="E34" s="85"/>
      <c r="F34" s="85"/>
      <c r="G34" s="85"/>
      <c r="H34" s="85"/>
      <c r="I34" s="85"/>
      <c r="J34" s="86"/>
    </row>
    <row r="38" spans="2:11" x14ac:dyDescent="0.3">
      <c r="K38" s="45"/>
    </row>
    <row r="39" spans="2:11" x14ac:dyDescent="0.3">
      <c r="B39" s="49" t="s">
        <v>90</v>
      </c>
      <c r="C39" s="50"/>
      <c r="D39" s="50" t="s">
        <v>84</v>
      </c>
      <c r="E39" s="50"/>
      <c r="F39" s="50"/>
      <c r="G39" s="50"/>
      <c r="H39" s="50"/>
      <c r="I39" s="50"/>
      <c r="J39" s="50" t="s">
        <v>86</v>
      </c>
      <c r="K39" s="45"/>
    </row>
    <row r="40" spans="2:11" x14ac:dyDescent="0.3">
      <c r="B40" s="50"/>
      <c r="C40" s="51"/>
      <c r="D40" s="56"/>
      <c r="E40" s="1"/>
      <c r="F40" s="1"/>
      <c r="G40" s="63"/>
      <c r="H40" s="1"/>
      <c r="I40" s="57"/>
      <c r="J40" s="1"/>
      <c r="K40" s="45"/>
    </row>
    <row r="41" spans="2:11" x14ac:dyDescent="0.3">
      <c r="B41" s="50" t="s">
        <v>79</v>
      </c>
      <c r="C41" s="51"/>
      <c r="D41" s="62">
        <v>80</v>
      </c>
      <c r="E41" s="12"/>
      <c r="F41" s="58"/>
      <c r="G41" s="59"/>
      <c r="H41" s="60"/>
      <c r="I41" s="61"/>
      <c r="J41" s="12"/>
    </row>
    <row r="42" spans="2:11" x14ac:dyDescent="0.3">
      <c r="B42" s="50" t="s">
        <v>80</v>
      </c>
      <c r="C42" s="53"/>
      <c r="D42" s="62">
        <v>5</v>
      </c>
      <c r="E42" s="12"/>
      <c r="F42" s="58"/>
      <c r="G42" s="59"/>
      <c r="H42" s="60"/>
      <c r="I42" s="61"/>
      <c r="J42" s="12"/>
    </row>
    <row r="43" spans="2:11" x14ac:dyDescent="0.3">
      <c r="B43" s="50" t="s">
        <v>81</v>
      </c>
      <c r="C43" s="54"/>
      <c r="D43" s="62">
        <v>5</v>
      </c>
      <c r="E43" s="12"/>
      <c r="F43" s="58"/>
      <c r="G43" s="59"/>
      <c r="H43" s="60"/>
      <c r="I43" s="61"/>
      <c r="J43" s="12"/>
    </row>
    <row r="44" spans="2:11" x14ac:dyDescent="0.3">
      <c r="B44" s="50" t="s">
        <v>94</v>
      </c>
      <c r="C44" s="51"/>
      <c r="D44" s="62">
        <v>60</v>
      </c>
      <c r="E44" s="12"/>
      <c r="F44" s="58"/>
      <c r="G44" s="59"/>
      <c r="H44" s="60"/>
      <c r="I44" s="61"/>
      <c r="J44" s="12"/>
    </row>
    <row r="45" spans="2:11" x14ac:dyDescent="0.3">
      <c r="B45" s="50" t="s">
        <v>82</v>
      </c>
      <c r="C45" s="51"/>
      <c r="D45" s="55">
        <v>25</v>
      </c>
      <c r="E45" s="12"/>
      <c r="F45" s="58"/>
      <c r="G45" s="59"/>
      <c r="H45" s="12"/>
      <c r="I45" s="12"/>
      <c r="J45" s="12"/>
    </row>
    <row r="46" spans="2:11" x14ac:dyDescent="0.3">
      <c r="B46" s="50" t="s">
        <v>83</v>
      </c>
      <c r="C46" s="51"/>
      <c r="D46" s="55">
        <v>5</v>
      </c>
      <c r="E46" s="12"/>
      <c r="F46" s="58"/>
      <c r="G46" s="59"/>
      <c r="H46" s="12"/>
      <c r="I46" s="12"/>
      <c r="J46" s="12"/>
    </row>
    <row r="47" spans="2:11" x14ac:dyDescent="0.3">
      <c r="B47" s="50" t="s">
        <v>95</v>
      </c>
      <c r="C47" s="51"/>
      <c r="D47" s="55">
        <v>35</v>
      </c>
      <c r="E47" s="12"/>
      <c r="F47" s="12"/>
      <c r="G47" s="12"/>
      <c r="H47" s="12"/>
      <c r="I47" s="12"/>
      <c r="J47" s="12"/>
    </row>
    <row r="48" spans="2:11" x14ac:dyDescent="0.3">
      <c r="B48" s="50" t="s">
        <v>102</v>
      </c>
      <c r="C48" s="51"/>
      <c r="D48" s="52">
        <v>12</v>
      </c>
      <c r="E48" s="52"/>
      <c r="F48" s="12"/>
      <c r="G48" s="12"/>
      <c r="H48" s="12"/>
      <c r="I48" s="12"/>
      <c r="J48" s="55">
        <f>SUM(D41:D48)</f>
        <v>227</v>
      </c>
    </row>
    <row r="49" spans="2:10" x14ac:dyDescent="0.3">
      <c r="B49" s="45"/>
      <c r="C49" s="45"/>
      <c r="D49" s="67"/>
      <c r="E49" s="45"/>
      <c r="F49" s="68"/>
      <c r="G49" s="68"/>
      <c r="H49" s="45"/>
      <c r="I49" s="45"/>
      <c r="J49" s="45"/>
    </row>
    <row r="50" spans="2:10" x14ac:dyDescent="0.3">
      <c r="B50" s="49" t="s">
        <v>91</v>
      </c>
      <c r="C50" s="50"/>
      <c r="D50" s="50" t="s">
        <v>84</v>
      </c>
      <c r="E50" s="50"/>
      <c r="F50" s="50"/>
      <c r="G50" s="50"/>
      <c r="H50" s="50"/>
      <c r="I50" s="50"/>
      <c r="J50" s="50" t="s">
        <v>86</v>
      </c>
    </row>
    <row r="51" spans="2:10" x14ac:dyDescent="0.3">
      <c r="B51" s="50"/>
      <c r="C51" s="51"/>
      <c r="D51" s="56"/>
      <c r="E51" s="1"/>
      <c r="F51" s="1"/>
      <c r="G51" s="63"/>
      <c r="H51" s="1"/>
      <c r="I51" s="57"/>
      <c r="J51" s="1"/>
    </row>
    <row r="52" spans="2:10" x14ac:dyDescent="0.3">
      <c r="B52" s="50" t="s">
        <v>92</v>
      </c>
      <c r="C52" s="51"/>
      <c r="D52" s="62">
        <v>60</v>
      </c>
      <c r="E52" s="12"/>
      <c r="F52" s="58"/>
      <c r="G52" s="59"/>
      <c r="H52" s="60"/>
      <c r="I52" s="61"/>
      <c r="J52" s="12"/>
    </row>
    <row r="53" spans="2:10" x14ac:dyDescent="0.3">
      <c r="B53" s="50" t="s">
        <v>93</v>
      </c>
      <c r="C53" s="53"/>
      <c r="D53" s="62">
        <v>80</v>
      </c>
      <c r="E53" s="12"/>
      <c r="F53" s="58"/>
      <c r="G53" s="59"/>
      <c r="H53" s="60"/>
      <c r="I53" s="61"/>
      <c r="J53" s="12"/>
    </row>
    <row r="54" spans="2:10" x14ac:dyDescent="0.3">
      <c r="B54" s="50" t="s">
        <v>81</v>
      </c>
      <c r="C54" s="54"/>
      <c r="D54" s="62">
        <v>5</v>
      </c>
      <c r="E54" s="12"/>
      <c r="F54" s="58"/>
      <c r="G54" s="59"/>
      <c r="H54" s="60"/>
      <c r="I54" s="61"/>
      <c r="J54" s="12"/>
    </row>
    <row r="55" spans="2:10" x14ac:dyDescent="0.3">
      <c r="B55" s="50" t="s">
        <v>94</v>
      </c>
      <c r="C55" s="51"/>
      <c r="D55" s="62">
        <v>60</v>
      </c>
      <c r="E55" s="12"/>
      <c r="F55" s="58"/>
      <c r="G55" s="59"/>
      <c r="H55" s="60"/>
      <c r="I55" s="61"/>
      <c r="J55" s="12"/>
    </row>
    <row r="56" spans="2:10" x14ac:dyDescent="0.3">
      <c r="B56" s="50" t="s">
        <v>83</v>
      </c>
      <c r="C56" s="51"/>
      <c r="D56" s="52">
        <v>5</v>
      </c>
      <c r="E56" s="12"/>
      <c r="F56" s="58"/>
      <c r="G56" s="59"/>
      <c r="H56" s="12"/>
      <c r="I56" s="12"/>
      <c r="J56" s="12"/>
    </row>
    <row r="57" spans="2:10" x14ac:dyDescent="0.3">
      <c r="B57" s="50" t="s">
        <v>207</v>
      </c>
      <c r="C57" s="51"/>
      <c r="D57" s="52">
        <v>40</v>
      </c>
      <c r="E57" s="12"/>
      <c r="F57" s="12"/>
      <c r="G57" s="12"/>
      <c r="H57" s="12"/>
      <c r="I57" s="12"/>
      <c r="J57" s="12"/>
    </row>
    <row r="58" spans="2:10" x14ac:dyDescent="0.3">
      <c r="B58" s="50" t="s">
        <v>102</v>
      </c>
      <c r="C58" s="51"/>
      <c r="D58" s="52">
        <v>12</v>
      </c>
      <c r="E58" s="52"/>
      <c r="F58" s="12"/>
      <c r="G58" s="12"/>
      <c r="H58" s="12"/>
      <c r="I58" s="12"/>
      <c r="J58" s="55">
        <f>SUM(D52:D58)</f>
        <v>262</v>
      </c>
    </row>
    <row r="60" spans="2:10" x14ac:dyDescent="0.3">
      <c r="B60" s="49" t="s">
        <v>96</v>
      </c>
      <c r="C60" s="50"/>
      <c r="D60" s="50" t="s">
        <v>84</v>
      </c>
      <c r="E60" s="50"/>
      <c r="F60" s="50"/>
      <c r="G60" s="50"/>
      <c r="H60" s="50"/>
      <c r="I60" s="50"/>
      <c r="J60" s="50" t="s">
        <v>86</v>
      </c>
    </row>
    <row r="61" spans="2:10" x14ac:dyDescent="0.3">
      <c r="B61" s="50"/>
      <c r="C61" s="51"/>
      <c r="D61" s="56"/>
      <c r="E61" s="1"/>
      <c r="F61" s="1"/>
      <c r="G61" s="63"/>
      <c r="H61" s="1"/>
      <c r="I61" s="57"/>
      <c r="J61" s="1"/>
    </row>
    <row r="62" spans="2:10" x14ac:dyDescent="0.3">
      <c r="B62" s="50" t="s">
        <v>99</v>
      </c>
      <c r="C62" s="51"/>
      <c r="D62" s="62">
        <v>40</v>
      </c>
      <c r="E62" s="12"/>
      <c r="F62" s="58"/>
      <c r="G62" s="59"/>
      <c r="H62" s="60"/>
      <c r="I62" s="61"/>
      <c r="J62" s="12"/>
    </row>
    <row r="63" spans="2:10" x14ac:dyDescent="0.3">
      <c r="B63" s="50" t="s">
        <v>97</v>
      </c>
      <c r="C63" s="53"/>
      <c r="D63" s="62">
        <v>15</v>
      </c>
      <c r="E63" s="12"/>
      <c r="F63" s="58"/>
      <c r="G63" s="59"/>
      <c r="H63" s="60"/>
      <c r="I63" s="61"/>
      <c r="J63" s="12"/>
    </row>
    <row r="64" spans="2:10" x14ac:dyDescent="0.3">
      <c r="B64" s="50" t="s">
        <v>94</v>
      </c>
      <c r="C64" s="54"/>
      <c r="D64" s="62">
        <v>60</v>
      </c>
      <c r="E64" s="12"/>
      <c r="F64" s="58"/>
      <c r="G64" s="59"/>
      <c r="H64" s="60"/>
      <c r="I64" s="61"/>
      <c r="J64" s="12"/>
    </row>
    <row r="65" spans="2:10" x14ac:dyDescent="0.3">
      <c r="B65" s="50" t="s">
        <v>99</v>
      </c>
      <c r="C65" s="51"/>
      <c r="D65" s="62">
        <v>40</v>
      </c>
      <c r="E65" s="12"/>
      <c r="F65" s="58"/>
      <c r="G65" s="59"/>
      <c r="H65" s="60"/>
      <c r="I65" s="61"/>
      <c r="J65" s="12"/>
    </row>
    <row r="66" spans="2:10" x14ac:dyDescent="0.3">
      <c r="B66" s="50" t="s">
        <v>98</v>
      </c>
      <c r="C66" s="51"/>
      <c r="D66" s="62">
        <v>10</v>
      </c>
      <c r="E66" s="12"/>
      <c r="F66" s="58"/>
      <c r="G66" s="59"/>
      <c r="H66" s="12"/>
      <c r="I66" s="12"/>
      <c r="J66" s="12"/>
    </row>
    <row r="67" spans="2:10" x14ac:dyDescent="0.3">
      <c r="B67" s="50"/>
      <c r="C67" s="51"/>
      <c r="D67" s="12"/>
      <c r="E67" s="52"/>
      <c r="F67" s="12"/>
      <c r="G67" s="12"/>
      <c r="H67" s="12"/>
      <c r="I67" s="12"/>
      <c r="J67" s="55">
        <f>SUM(D62:D67)</f>
        <v>165</v>
      </c>
    </row>
    <row r="71" spans="2:10" x14ac:dyDescent="0.3">
      <c r="B71" t="s">
        <v>100</v>
      </c>
    </row>
    <row r="72" spans="2:10" x14ac:dyDescent="0.3">
      <c r="B72" s="70" t="s">
        <v>101</v>
      </c>
    </row>
    <row r="75" spans="2:10" x14ac:dyDescent="0.3">
      <c r="B75" s="2" t="s">
        <v>119</v>
      </c>
      <c r="C75" s="3"/>
      <c r="D75" s="4"/>
      <c r="E75" s="4"/>
      <c r="F75" s="4"/>
      <c r="G75" s="5"/>
    </row>
    <row r="76" spans="2:10" x14ac:dyDescent="0.3">
      <c r="B76" s="6" t="s">
        <v>15</v>
      </c>
      <c r="C76" s="7" t="s">
        <v>16</v>
      </c>
      <c r="D76" s="7" t="s">
        <v>17</v>
      </c>
      <c r="E76" s="7" t="s">
        <v>18</v>
      </c>
      <c r="F76" s="7" t="s">
        <v>19</v>
      </c>
      <c r="G76" s="48"/>
      <c r="H76" s="9" t="s">
        <v>20</v>
      </c>
    </row>
    <row r="77" spans="2:10" x14ac:dyDescent="0.3">
      <c r="B77" s="10" t="s">
        <v>77</v>
      </c>
      <c r="C77" s="10">
        <v>8</v>
      </c>
      <c r="D77" s="10">
        <v>7880</v>
      </c>
      <c r="E77" s="10">
        <v>300</v>
      </c>
      <c r="F77" s="10"/>
      <c r="G77" s="10"/>
      <c r="H77" s="46">
        <f>(D77*E77*C77)/1000000</f>
        <v>18.911999999999999</v>
      </c>
    </row>
    <row r="78" spans="2:10" x14ac:dyDescent="0.3">
      <c r="B78" s="10" t="s">
        <v>118</v>
      </c>
      <c r="C78" s="10">
        <v>8</v>
      </c>
      <c r="D78" s="10">
        <v>950</v>
      </c>
      <c r="E78" s="10">
        <v>300</v>
      </c>
      <c r="F78" s="10"/>
      <c r="G78" s="10"/>
      <c r="H78" s="46">
        <f>(D78*E78*C78)/1000000</f>
        <v>2.2799999999999998</v>
      </c>
    </row>
    <row r="79" spans="2:10" x14ac:dyDescent="0.3">
      <c r="B79" s="10" t="s">
        <v>21</v>
      </c>
      <c r="C79" s="10">
        <v>0</v>
      </c>
      <c r="D79" s="10">
        <v>0</v>
      </c>
      <c r="E79" s="10">
        <v>0</v>
      </c>
      <c r="F79" s="10"/>
      <c r="G79" s="10"/>
      <c r="H79" s="46">
        <f>(D79*F79*C79)/1000000</f>
        <v>0</v>
      </c>
    </row>
    <row r="80" spans="2:10" x14ac:dyDescent="0.3">
      <c r="B80" s="10" t="s">
        <v>22</v>
      </c>
      <c r="C80" s="47">
        <v>16</v>
      </c>
      <c r="D80" s="10">
        <v>1500</v>
      </c>
      <c r="E80" s="10">
        <v>114</v>
      </c>
      <c r="F80" s="10">
        <v>67</v>
      </c>
      <c r="G80" s="10"/>
      <c r="H80" s="46">
        <f>(D80*F80*C80)/1000000</f>
        <v>1.6080000000000001</v>
      </c>
    </row>
    <row r="81" spans="2:8" x14ac:dyDescent="0.3">
      <c r="B81" s="10" t="s">
        <v>23</v>
      </c>
      <c r="C81" s="47">
        <v>16</v>
      </c>
      <c r="D81" s="10">
        <v>1800</v>
      </c>
      <c r="E81" s="10">
        <v>114</v>
      </c>
      <c r="F81" s="10">
        <v>67</v>
      </c>
      <c r="G81" s="10"/>
      <c r="H81" s="46">
        <f>(D81*F81*C81)/1000000</f>
        <v>1.9296</v>
      </c>
    </row>
    <row r="82" spans="2:8" x14ac:dyDescent="0.3">
      <c r="B82" s="10" t="s">
        <v>24</v>
      </c>
      <c r="C82" s="10"/>
      <c r="D82" s="10"/>
      <c r="E82" s="10"/>
      <c r="F82" s="10"/>
      <c r="G82" s="10"/>
      <c r="H82" s="46">
        <f>(H77+H78)-SUM(H79:H81)</f>
        <v>17.654399999999999</v>
      </c>
    </row>
    <row r="83" spans="2:8" x14ac:dyDescent="0.3">
      <c r="B83" s="11"/>
      <c r="C83" s="11"/>
      <c r="D83" s="11"/>
      <c r="E83" s="11"/>
      <c r="F83" s="11"/>
      <c r="G83" s="11"/>
      <c r="H83" s="11"/>
    </row>
    <row r="84" spans="2:8" x14ac:dyDescent="0.3">
      <c r="B84" s="10" t="s">
        <v>78</v>
      </c>
      <c r="C84" s="12">
        <v>1</v>
      </c>
      <c r="D84" s="12"/>
      <c r="E84" s="12"/>
      <c r="F84" s="12"/>
      <c r="G84" s="12"/>
      <c r="H84" s="12"/>
    </row>
    <row r="85" spans="2:8" x14ac:dyDescent="0.3">
      <c r="B85" s="13"/>
      <c r="C85" s="13"/>
      <c r="D85" s="13"/>
      <c r="E85" s="13"/>
      <c r="F85" s="13"/>
      <c r="G85" s="13"/>
      <c r="H85" s="13"/>
    </row>
    <row r="86" spans="2:8" x14ac:dyDescent="0.3">
      <c r="B86" s="14" t="s">
        <v>26</v>
      </c>
      <c r="C86" s="14" t="s">
        <v>27</v>
      </c>
      <c r="D86" s="14" t="s">
        <v>28</v>
      </c>
      <c r="E86" s="14" t="s">
        <v>29</v>
      </c>
      <c r="F86" s="14" t="s">
        <v>30</v>
      </c>
      <c r="G86" s="15" t="s">
        <v>31</v>
      </c>
      <c r="H86" s="14" t="s">
        <v>32</v>
      </c>
    </row>
    <row r="87" spans="2:8" x14ac:dyDescent="0.3">
      <c r="B87" s="16" t="s">
        <v>33</v>
      </c>
      <c r="C87" s="17"/>
      <c r="D87" s="17"/>
      <c r="E87" s="17"/>
      <c r="F87" s="18">
        <v>16</v>
      </c>
      <c r="G87" s="19">
        <v>125</v>
      </c>
      <c r="H87" s="20">
        <f>F87*G87*C84</f>
        <v>2000</v>
      </c>
    </row>
    <row r="88" spans="2:8" x14ac:dyDescent="0.3">
      <c r="B88" s="10" t="s">
        <v>49</v>
      </c>
      <c r="C88" s="21">
        <v>50</v>
      </c>
      <c r="D88" s="21">
        <f>75/20</f>
        <v>3.75</v>
      </c>
      <c r="E88" s="22">
        <f>C88*H82*C84</f>
        <v>882.71999999999991</v>
      </c>
      <c r="F88" s="8"/>
      <c r="G88" s="8"/>
      <c r="H88" s="23">
        <f>E88+H87</f>
        <v>2882.72</v>
      </c>
    </row>
    <row r="89" spans="2:8" x14ac:dyDescent="0.3">
      <c r="B89" s="10" t="s">
        <v>34</v>
      </c>
      <c r="C89" s="21">
        <v>115</v>
      </c>
      <c r="D89" s="21">
        <f>140/20</f>
        <v>7</v>
      </c>
      <c r="E89" s="22">
        <f>C89*H82*C84</f>
        <v>2030.2559999999999</v>
      </c>
      <c r="F89" s="8"/>
      <c r="G89" s="8"/>
      <c r="H89" s="23">
        <f>E89+H87</f>
        <v>4030.2559999999999</v>
      </c>
    </row>
    <row r="90" spans="2:8" x14ac:dyDescent="0.3">
      <c r="B90" s="10" t="s">
        <v>35</v>
      </c>
      <c r="C90" s="21">
        <v>120</v>
      </c>
      <c r="D90" s="21">
        <f>180/20</f>
        <v>9</v>
      </c>
      <c r="E90" s="22">
        <f>C90*H82*C84</f>
        <v>2118.5279999999998</v>
      </c>
      <c r="F90" s="8"/>
      <c r="G90" s="8"/>
      <c r="H90" s="23">
        <f>E90+H87</f>
        <v>4118.5280000000002</v>
      </c>
    </row>
    <row r="91" spans="2:8" x14ac:dyDescent="0.3">
      <c r="B91" s="10" t="s">
        <v>36</v>
      </c>
      <c r="C91" s="21">
        <v>125</v>
      </c>
      <c r="D91" s="21">
        <f>220/20</f>
        <v>11</v>
      </c>
      <c r="E91" s="22">
        <f>C91*H82*C84</f>
        <v>2206.7999999999997</v>
      </c>
      <c r="F91" s="8"/>
      <c r="G91" s="8"/>
      <c r="H91" s="23">
        <f>E91+H87</f>
        <v>4206.7999999999993</v>
      </c>
    </row>
    <row r="92" spans="2:8" x14ac:dyDescent="0.3">
      <c r="B92" s="10" t="s">
        <v>37</v>
      </c>
      <c r="C92" s="21">
        <v>130</v>
      </c>
      <c r="D92" s="21">
        <f>260/20</f>
        <v>13</v>
      </c>
      <c r="E92" s="22">
        <f>C92*H82*C84</f>
        <v>2295.0719999999997</v>
      </c>
      <c r="F92" s="8"/>
      <c r="G92" s="8"/>
      <c r="H92" s="23">
        <f>E92+H87</f>
        <v>4295.0720000000001</v>
      </c>
    </row>
    <row r="93" spans="2:8" x14ac:dyDescent="0.3">
      <c r="B93" s="10" t="s">
        <v>38</v>
      </c>
      <c r="C93" s="21">
        <v>170</v>
      </c>
      <c r="D93" s="21">
        <f>280/20</f>
        <v>14</v>
      </c>
      <c r="E93" s="22">
        <f>C93*H82*C84</f>
        <v>3001.248</v>
      </c>
      <c r="F93" s="8"/>
      <c r="G93" s="8"/>
      <c r="H93" s="23">
        <f>E93+H87</f>
        <v>5001.2479999999996</v>
      </c>
    </row>
    <row r="94" spans="2:8" x14ac:dyDescent="0.3">
      <c r="B94" s="14" t="s">
        <v>39</v>
      </c>
      <c r="C94" s="8"/>
      <c r="D94" s="24"/>
      <c r="E94" s="14" t="s">
        <v>40</v>
      </c>
      <c r="F94" s="24"/>
      <c r="G94" s="24"/>
      <c r="H94" s="25">
        <f>H93-H89</f>
        <v>970.99199999999973</v>
      </c>
    </row>
    <row r="95" spans="2:8" x14ac:dyDescent="0.3">
      <c r="B95" s="13"/>
      <c r="C95" s="13"/>
      <c r="D95" s="13"/>
      <c r="E95" s="13"/>
      <c r="F95" s="13"/>
      <c r="G95" s="13"/>
      <c r="H95" s="13"/>
    </row>
    <row r="96" spans="2:8" x14ac:dyDescent="0.3">
      <c r="B96" s="14" t="s">
        <v>26</v>
      </c>
      <c r="C96" s="14"/>
      <c r="D96" s="25" t="s">
        <v>41</v>
      </c>
      <c r="E96" s="14" t="s">
        <v>40</v>
      </c>
      <c r="F96" s="24"/>
      <c r="G96" s="24"/>
      <c r="H96" s="24" t="s">
        <v>42</v>
      </c>
    </row>
    <row r="97" spans="2:10" x14ac:dyDescent="0.3">
      <c r="B97" s="10" t="s">
        <v>49</v>
      </c>
      <c r="C97" s="26"/>
      <c r="D97" s="27">
        <f t="shared" ref="D97:D102" si="1">H88</f>
        <v>2882.72</v>
      </c>
      <c r="E97" s="28">
        <f>H82*D88*C84</f>
        <v>66.203999999999994</v>
      </c>
      <c r="F97" s="24"/>
      <c r="G97" s="24"/>
      <c r="H97" s="29">
        <f>D97/E97</f>
        <v>43.542988339073169</v>
      </c>
    </row>
    <row r="98" spans="2:10" x14ac:dyDescent="0.3">
      <c r="B98" s="10" t="s">
        <v>34</v>
      </c>
      <c r="C98" s="26"/>
      <c r="D98" s="27">
        <f t="shared" si="1"/>
        <v>4030.2559999999999</v>
      </c>
      <c r="E98" s="28">
        <f>H82*D89*C84</f>
        <v>123.5808</v>
      </c>
      <c r="F98" s="24"/>
      <c r="G98" s="24"/>
      <c r="H98" s="29">
        <f>D98/E98</f>
        <v>32.612315181646338</v>
      </c>
    </row>
    <row r="99" spans="2:10" x14ac:dyDescent="0.3">
      <c r="B99" s="10" t="s">
        <v>35</v>
      </c>
      <c r="C99" s="26"/>
      <c r="D99" s="27">
        <f t="shared" si="1"/>
        <v>4118.5280000000002</v>
      </c>
      <c r="E99" s="28">
        <f>H82*D90*C84</f>
        <v>158.8896</v>
      </c>
      <c r="F99" s="24"/>
      <c r="G99" s="24"/>
      <c r="H99" s="29">
        <f t="shared" ref="H99:H102" si="2">D99/E99</f>
        <v>25.920689585724933</v>
      </c>
    </row>
    <row r="100" spans="2:10" x14ac:dyDescent="0.3">
      <c r="B100" s="10" t="s">
        <v>36</v>
      </c>
      <c r="C100" s="26"/>
      <c r="D100" s="27">
        <f t="shared" si="1"/>
        <v>4206.7999999999993</v>
      </c>
      <c r="E100" s="28">
        <f>H82*D91*C84</f>
        <v>194.19839999999999</v>
      </c>
      <c r="F100" s="24"/>
      <c r="G100" s="24"/>
      <c r="H100" s="29">
        <f t="shared" si="2"/>
        <v>21.662382388320395</v>
      </c>
    </row>
    <row r="101" spans="2:10" x14ac:dyDescent="0.3">
      <c r="B101" s="10" t="s">
        <v>37</v>
      </c>
      <c r="C101" s="26"/>
      <c r="D101" s="27">
        <f t="shared" si="1"/>
        <v>4295.0720000000001</v>
      </c>
      <c r="E101" s="28">
        <f>H82*D92*C84</f>
        <v>229.50719999999998</v>
      </c>
      <c r="F101" s="24"/>
      <c r="G101" s="24"/>
      <c r="H101" s="29">
        <f t="shared" si="2"/>
        <v>18.714323559348031</v>
      </c>
    </row>
    <row r="102" spans="2:10" ht="15" thickBot="1" x14ac:dyDescent="0.35">
      <c r="B102" s="10" t="s">
        <v>48</v>
      </c>
      <c r="C102" s="26"/>
      <c r="D102" s="27">
        <f t="shared" si="1"/>
        <v>5001.2479999999996</v>
      </c>
      <c r="E102" s="30">
        <f>H82*D93*C84</f>
        <v>247.16159999999999</v>
      </c>
      <c r="F102" s="31"/>
      <c r="G102" s="31"/>
      <c r="H102" s="29">
        <f t="shared" si="2"/>
        <v>20.234729019394596</v>
      </c>
    </row>
    <row r="103" spans="2:10" ht="15" thickBot="1" x14ac:dyDescent="0.35">
      <c r="B103" s="24"/>
      <c r="C103" s="24"/>
      <c r="D103" s="32"/>
      <c r="E103" s="33" t="s">
        <v>50</v>
      </c>
      <c r="F103" s="34"/>
      <c r="G103" s="35"/>
      <c r="H103" s="142">
        <f>H100-H$97</f>
        <v>-21.880605950752773</v>
      </c>
    </row>
    <row r="104" spans="2:10" ht="15" thickBot="1" x14ac:dyDescent="0.35">
      <c r="B104" s="24"/>
      <c r="C104" s="24"/>
      <c r="D104" s="32"/>
      <c r="E104" s="33" t="s">
        <v>51</v>
      </c>
      <c r="F104" s="34"/>
      <c r="G104" s="35"/>
      <c r="H104" s="142">
        <f>H101-H$97</f>
        <v>-24.828664779725138</v>
      </c>
    </row>
    <row r="105" spans="2:10" x14ac:dyDescent="0.3">
      <c r="B105" s="13"/>
      <c r="C105" s="37"/>
      <c r="D105" s="37"/>
      <c r="E105" s="38"/>
      <c r="F105" s="38"/>
      <c r="G105" s="38"/>
      <c r="H105" s="13"/>
    </row>
    <row r="107" spans="2:10" x14ac:dyDescent="0.3">
      <c r="B107" s="45"/>
      <c r="C107" s="45"/>
      <c r="D107" s="45"/>
      <c r="E107" s="45"/>
      <c r="F107" s="45"/>
      <c r="G107" s="45"/>
      <c r="H107" s="45"/>
      <c r="I107" s="45"/>
      <c r="J107" s="45"/>
    </row>
    <row r="108" spans="2:10" x14ac:dyDescent="0.3">
      <c r="B108" s="95"/>
      <c r="C108" s="95"/>
      <c r="D108" s="96"/>
      <c r="E108" s="95"/>
      <c r="F108" s="95"/>
      <c r="G108" s="68"/>
      <c r="H108" s="68"/>
      <c r="I108" s="95"/>
      <c r="J108" s="95"/>
    </row>
    <row r="109" spans="2:10" x14ac:dyDescent="0.3">
      <c r="B109" s="95"/>
      <c r="C109" s="95"/>
      <c r="D109" s="97"/>
      <c r="E109" s="98"/>
      <c r="F109" s="99"/>
      <c r="G109" s="100"/>
      <c r="H109" s="68"/>
      <c r="I109" s="95"/>
      <c r="J109" s="95"/>
    </row>
    <row r="110" spans="2:10" x14ac:dyDescent="0.3">
      <c r="B110" s="95"/>
      <c r="C110" s="95"/>
      <c r="D110" s="95"/>
      <c r="E110" s="100"/>
      <c r="F110" s="95"/>
      <c r="G110" s="95"/>
      <c r="H110" s="95"/>
      <c r="I110" s="95"/>
      <c r="J110" s="95"/>
    </row>
  </sheetData>
  <hyperlinks>
    <hyperlink ref="B72" r:id="rId1" xr:uid="{5AE19530-E546-482E-8159-C65971F2ECA3}"/>
  </hyperlinks>
  <pageMargins left="0.7" right="0.7" top="0.75" bottom="0.75" header="0.3" footer="0.3"/>
  <pageSetup paperSize="9"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4921-CD6F-40AF-9C56-C05AD9E19890}">
  <dimension ref="A5:K17"/>
  <sheetViews>
    <sheetView zoomScale="85" zoomScaleNormal="85" workbookViewId="0">
      <selection activeCell="A4" sqref="A4"/>
    </sheetView>
  </sheetViews>
  <sheetFormatPr defaultRowHeight="14.4" x14ac:dyDescent="0.3"/>
  <cols>
    <col min="1" max="1" width="21.44140625" customWidth="1"/>
    <col min="3" max="3" width="16.21875" customWidth="1"/>
    <col min="5" max="5" width="11.6640625" bestFit="1" customWidth="1"/>
    <col min="6" max="6" width="13.33203125" customWidth="1"/>
    <col min="7" max="7" width="9.77734375" bestFit="1" customWidth="1"/>
    <col min="9" max="9" width="19.44140625" customWidth="1"/>
    <col min="10" max="11" width="18.6640625" bestFit="1" customWidth="1"/>
  </cols>
  <sheetData>
    <row r="5" spans="1:11" x14ac:dyDescent="0.3">
      <c r="C5" s="49" t="s">
        <v>137</v>
      </c>
      <c r="D5" s="50"/>
      <c r="E5" s="50" t="s">
        <v>138</v>
      </c>
      <c r="F5" s="50" t="s">
        <v>139</v>
      </c>
      <c r="G5" s="50" t="s">
        <v>140</v>
      </c>
      <c r="H5" s="50" t="s">
        <v>14</v>
      </c>
      <c r="I5" s="50" t="s">
        <v>141</v>
      </c>
      <c r="J5" s="50" t="s">
        <v>148</v>
      </c>
      <c r="K5" s="50" t="s">
        <v>240</v>
      </c>
    </row>
    <row r="6" spans="1:11" x14ac:dyDescent="0.3">
      <c r="C6" s="91"/>
      <c r="D6" s="92"/>
      <c r="E6" s="93"/>
      <c r="F6" s="94"/>
      <c r="G6" s="94"/>
      <c r="H6" s="87"/>
      <c r="I6" s="87">
        <v>10</v>
      </c>
      <c r="J6" s="94"/>
      <c r="K6" s="94"/>
    </row>
    <row r="7" spans="1:11" x14ac:dyDescent="0.3">
      <c r="A7" t="s">
        <v>261</v>
      </c>
      <c r="C7" s="91" t="s">
        <v>142</v>
      </c>
      <c r="D7" s="92"/>
      <c r="E7" s="89">
        <v>10</v>
      </c>
      <c r="F7" s="66">
        <v>8</v>
      </c>
      <c r="G7" s="88">
        <v>0.27</v>
      </c>
      <c r="H7" s="58">
        <f>(E7*F7)-G7</f>
        <v>79.73</v>
      </c>
      <c r="I7" s="69">
        <f>H7*I$6</f>
        <v>797.30000000000007</v>
      </c>
      <c r="J7" s="76"/>
      <c r="K7" s="29"/>
    </row>
    <row r="8" spans="1:11" x14ac:dyDescent="0.3">
      <c r="A8" t="s">
        <v>262</v>
      </c>
      <c r="C8" s="91" t="s">
        <v>143</v>
      </c>
      <c r="D8" s="92"/>
      <c r="E8" s="29">
        <v>15</v>
      </c>
      <c r="F8" s="58">
        <v>9</v>
      </c>
      <c r="G8" s="29">
        <v>7.0000000000000007E-2</v>
      </c>
      <c r="H8" s="58">
        <f>(E8*F8)-G8</f>
        <v>134.93</v>
      </c>
      <c r="I8" s="69">
        <f>H8*I$6</f>
        <v>1349.3000000000002</v>
      </c>
      <c r="J8" s="29"/>
      <c r="K8" s="29"/>
    </row>
    <row r="9" spans="1:11" x14ac:dyDescent="0.3">
      <c r="A9" t="s">
        <v>263</v>
      </c>
      <c r="C9" s="91" t="s">
        <v>144</v>
      </c>
      <c r="D9" s="92"/>
      <c r="E9" s="29">
        <v>15</v>
      </c>
      <c r="F9" s="58">
        <v>8</v>
      </c>
      <c r="G9" s="29">
        <v>0.26</v>
      </c>
      <c r="H9" s="58">
        <f t="shared" ref="H9:H12" si="0">(E9*F9)-G9</f>
        <v>119.74</v>
      </c>
      <c r="I9" s="69">
        <f t="shared" ref="I9:I16" si="1">H9*I$6</f>
        <v>1197.3999999999999</v>
      </c>
      <c r="J9" s="29"/>
      <c r="K9" s="29"/>
    </row>
    <row r="10" spans="1:11" x14ac:dyDescent="0.3">
      <c r="A10" t="s">
        <v>264</v>
      </c>
      <c r="C10" s="91" t="s">
        <v>145</v>
      </c>
      <c r="D10" s="92"/>
      <c r="E10" s="29">
        <v>10</v>
      </c>
      <c r="F10" s="58">
        <v>9</v>
      </c>
      <c r="G10" s="29">
        <v>0.27</v>
      </c>
      <c r="H10" s="58">
        <f t="shared" si="0"/>
        <v>89.73</v>
      </c>
      <c r="I10" s="69">
        <f t="shared" si="1"/>
        <v>897.30000000000007</v>
      </c>
      <c r="J10" s="29"/>
      <c r="K10" s="29"/>
    </row>
    <row r="11" spans="1:11" x14ac:dyDescent="0.3">
      <c r="A11" t="s">
        <v>265</v>
      </c>
      <c r="C11" s="91" t="s">
        <v>146</v>
      </c>
      <c r="D11" s="92"/>
      <c r="E11" s="29">
        <v>9</v>
      </c>
      <c r="F11" s="58">
        <v>8</v>
      </c>
      <c r="G11" s="29">
        <v>0.24</v>
      </c>
      <c r="H11" s="58">
        <f>(E11*F11)-G11</f>
        <v>71.760000000000005</v>
      </c>
      <c r="I11" s="69">
        <f t="shared" si="1"/>
        <v>717.6</v>
      </c>
      <c r="J11" s="29"/>
      <c r="K11" s="29"/>
    </row>
    <row r="12" spans="1:11" x14ac:dyDescent="0.3">
      <c r="A12" t="s">
        <v>266</v>
      </c>
      <c r="C12" s="91" t="s">
        <v>147</v>
      </c>
      <c r="D12" s="92"/>
      <c r="E12" s="29">
        <v>9</v>
      </c>
      <c r="F12" s="58">
        <v>9</v>
      </c>
      <c r="G12" s="29">
        <v>0.23</v>
      </c>
      <c r="H12" s="58">
        <f t="shared" si="0"/>
        <v>80.77</v>
      </c>
      <c r="I12" s="69">
        <f t="shared" si="1"/>
        <v>807.69999999999993</v>
      </c>
      <c r="J12" s="29"/>
      <c r="K12" s="29"/>
    </row>
    <row r="13" spans="1:11" x14ac:dyDescent="0.3">
      <c r="C13" s="91" t="s">
        <v>210</v>
      </c>
      <c r="D13" s="92"/>
      <c r="E13" s="29"/>
      <c r="F13" s="58"/>
      <c r="G13" s="29"/>
      <c r="H13" s="29">
        <v>349</v>
      </c>
      <c r="I13" s="69">
        <f t="shared" si="1"/>
        <v>3490</v>
      </c>
      <c r="J13" s="52"/>
      <c r="K13" s="29"/>
    </row>
    <row r="14" spans="1:11" x14ac:dyDescent="0.3">
      <c r="C14" s="91" t="s">
        <v>211</v>
      </c>
      <c r="D14" s="92"/>
      <c r="E14" s="29"/>
      <c r="F14" s="58"/>
      <c r="G14" s="29"/>
      <c r="H14" s="29">
        <v>1328</v>
      </c>
      <c r="I14" s="69">
        <f t="shared" si="1"/>
        <v>13280</v>
      </c>
      <c r="J14" s="52"/>
      <c r="K14" s="29"/>
    </row>
    <row r="15" spans="1:11" x14ac:dyDescent="0.3">
      <c r="C15" s="91" t="s">
        <v>212</v>
      </c>
      <c r="D15" s="92"/>
      <c r="E15" s="29"/>
      <c r="F15" s="58"/>
      <c r="G15" s="29"/>
      <c r="H15" s="29">
        <v>53</v>
      </c>
      <c r="I15" s="69">
        <f t="shared" si="1"/>
        <v>530</v>
      </c>
      <c r="J15" s="52"/>
      <c r="K15" s="29"/>
    </row>
    <row r="16" spans="1:11" x14ac:dyDescent="0.3">
      <c r="C16" s="91" t="s">
        <v>213</v>
      </c>
      <c r="D16" s="92"/>
      <c r="E16" s="29"/>
      <c r="F16" s="58"/>
      <c r="G16" s="29"/>
      <c r="H16" s="29">
        <v>1370</v>
      </c>
      <c r="I16" s="69">
        <f t="shared" si="1"/>
        <v>13700</v>
      </c>
      <c r="J16" s="52"/>
      <c r="K16" s="29"/>
    </row>
    <row r="17" spans="3:11" x14ac:dyDescent="0.3">
      <c r="C17" s="91"/>
      <c r="D17" s="92"/>
      <c r="E17" s="29"/>
      <c r="F17" s="58"/>
      <c r="G17" s="29"/>
      <c r="H17" s="29"/>
      <c r="I17" s="29"/>
      <c r="J17" s="52">
        <f>SUM(I7:I16)</f>
        <v>36766.6</v>
      </c>
      <c r="K17" s="52">
        <f>J17*12</f>
        <v>441199.19999999995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1162-4BD9-452E-8A67-6C6C3DA164B0}">
  <dimension ref="B2:H58"/>
  <sheetViews>
    <sheetView tabSelected="1" zoomScale="85" zoomScaleNormal="85" workbookViewId="0">
      <selection activeCell="H19" sqref="H19"/>
    </sheetView>
  </sheetViews>
  <sheetFormatPr defaultRowHeight="14.4" x14ac:dyDescent="0.3"/>
  <cols>
    <col min="2" max="2" width="33.5546875" customWidth="1"/>
    <col min="4" max="4" width="18.5546875" customWidth="1"/>
    <col min="5" max="5" width="17.21875" bestFit="1" customWidth="1"/>
  </cols>
  <sheetData>
    <row r="2" spans="2:8" x14ac:dyDescent="0.3">
      <c r="B2" s="159" t="s">
        <v>267</v>
      </c>
      <c r="C2" s="51"/>
      <c r="D2" s="56"/>
      <c r="E2" s="1"/>
      <c r="F2" s="1"/>
      <c r="G2" s="80"/>
      <c r="H2" s="1"/>
    </row>
    <row r="3" spans="2:8" x14ac:dyDescent="0.3">
      <c r="B3" s="50" t="s">
        <v>269</v>
      </c>
      <c r="C3" s="51"/>
      <c r="D3" s="161">
        <v>950000</v>
      </c>
      <c r="E3" s="81"/>
      <c r="F3" s="79"/>
      <c r="G3" s="52"/>
      <c r="H3" s="12"/>
    </row>
    <row r="4" spans="2:8" x14ac:dyDescent="0.3">
      <c r="B4" s="50" t="s">
        <v>270</v>
      </c>
      <c r="C4" s="53"/>
      <c r="D4" s="162">
        <v>350000</v>
      </c>
      <c r="E4" s="81"/>
      <c r="F4" s="79"/>
      <c r="G4" s="52"/>
      <c r="H4" s="12"/>
    </row>
    <row r="5" spans="2:8" x14ac:dyDescent="0.3">
      <c r="B5" s="50" t="s">
        <v>272</v>
      </c>
      <c r="C5" s="53"/>
      <c r="D5" s="161">
        <f>D3-D4</f>
        <v>600000</v>
      </c>
      <c r="E5" s="81"/>
      <c r="F5" s="79"/>
      <c r="G5" s="52"/>
      <c r="H5" s="12"/>
    </row>
    <row r="6" spans="2:8" x14ac:dyDescent="0.3">
      <c r="B6" s="159" t="s">
        <v>268</v>
      </c>
      <c r="C6" s="51"/>
      <c r="D6" s="56"/>
      <c r="E6" s="1"/>
      <c r="F6" s="1"/>
      <c r="G6" s="80"/>
      <c r="H6" s="1"/>
    </row>
    <row r="7" spans="2:8" x14ac:dyDescent="0.3">
      <c r="B7" s="50" t="s">
        <v>159</v>
      </c>
      <c r="C7" s="51"/>
      <c r="D7" s="161">
        <f>'Bamboe Kubus'!H30</f>
        <v>84021.68</v>
      </c>
      <c r="E7" s="81"/>
      <c r="F7" s="79"/>
      <c r="G7" s="52"/>
      <c r="H7" s="12"/>
    </row>
    <row r="8" spans="2:8" x14ac:dyDescent="0.3">
      <c r="B8" s="50" t="s">
        <v>160</v>
      </c>
      <c r="C8" s="53"/>
      <c r="D8" s="161">
        <f>'Kozijnen Kubus'!H48</f>
        <v>86049</v>
      </c>
      <c r="E8" s="81"/>
      <c r="F8" s="79"/>
      <c r="G8" s="52"/>
      <c r="H8" s="12"/>
    </row>
    <row r="9" spans="2:8" x14ac:dyDescent="0.3">
      <c r="B9" s="50" t="s">
        <v>161</v>
      </c>
      <c r="C9" s="54"/>
      <c r="D9" s="161">
        <f>'Scheeps Kubus'!I31</f>
        <v>77031.5</v>
      </c>
      <c r="E9" s="81"/>
      <c r="F9" s="79"/>
      <c r="G9" s="52"/>
      <c r="H9" s="12"/>
    </row>
    <row r="10" spans="2:8" x14ac:dyDescent="0.3">
      <c r="B10" s="50" t="s">
        <v>162</v>
      </c>
      <c r="C10" s="51"/>
      <c r="D10" s="161">
        <f>'Hennep Kubus'!I30</f>
        <v>63091.955799999996</v>
      </c>
      <c r="E10" s="82"/>
      <c r="F10" s="79"/>
      <c r="G10" s="52"/>
      <c r="H10" s="12"/>
    </row>
    <row r="11" spans="2:8" x14ac:dyDescent="0.3">
      <c r="B11" s="50" t="s">
        <v>163</v>
      </c>
      <c r="C11" s="51"/>
      <c r="D11" s="161">
        <f>'Gras Kubus'!R31</f>
        <v>59893.820000000014</v>
      </c>
      <c r="E11" s="81"/>
      <c r="F11" s="79"/>
      <c r="G11" s="52"/>
      <c r="H11" s="12"/>
    </row>
    <row r="12" spans="2:8" x14ac:dyDescent="0.3">
      <c r="B12" s="50" t="s">
        <v>164</v>
      </c>
      <c r="C12" s="51"/>
      <c r="D12" s="161">
        <f>'Container Kubus'!I40</f>
        <v>68473.014320000002</v>
      </c>
      <c r="E12" s="81"/>
      <c r="F12" s="79"/>
      <c r="G12" s="52"/>
      <c r="H12" s="55"/>
    </row>
    <row r="13" spans="2:8" x14ac:dyDescent="0.3">
      <c r="B13" s="50" t="s">
        <v>165</v>
      </c>
      <c r="C13" s="51"/>
      <c r="D13" s="161">
        <f>'muren die eruit gaan &amp; vervang'!G51</f>
        <v>159085.52000000002</v>
      </c>
      <c r="E13" s="81"/>
      <c r="F13" s="79"/>
      <c r="G13" s="52"/>
      <c r="H13" s="55"/>
    </row>
    <row r="14" spans="2:8" x14ac:dyDescent="0.3">
      <c r="B14" s="50" t="s">
        <v>214</v>
      </c>
      <c r="C14" s="51"/>
      <c r="D14" s="161">
        <f>Zonnepanelen!J9</f>
        <v>132000</v>
      </c>
      <c r="E14" s="81"/>
      <c r="F14" s="79"/>
      <c r="G14" s="52"/>
      <c r="H14" s="55"/>
    </row>
    <row r="15" spans="2:8" x14ac:dyDescent="0.3">
      <c r="B15" s="50" t="s">
        <v>244</v>
      </c>
      <c r="C15" s="51"/>
      <c r="D15" s="161">
        <f>'Bijkomende Kosten'!H14</f>
        <v>96000</v>
      </c>
      <c r="E15" s="81"/>
      <c r="F15" s="79"/>
      <c r="G15" s="52"/>
      <c r="H15" s="55"/>
    </row>
    <row r="16" spans="2:8" x14ac:dyDescent="0.3">
      <c r="B16" s="50" t="s">
        <v>245</v>
      </c>
      <c r="C16" s="51"/>
      <c r="D16" s="161">
        <f>'Bijkomende Kosten'!H15</f>
        <v>45080</v>
      </c>
      <c r="E16" s="81"/>
      <c r="F16" s="79"/>
      <c r="G16" s="52"/>
      <c r="H16" s="55"/>
    </row>
    <row r="17" spans="2:8" x14ac:dyDescent="0.3">
      <c r="B17" s="50" t="s">
        <v>211</v>
      </c>
      <c r="C17" s="51"/>
      <c r="D17" s="161">
        <f>'Bijkomende Kosten'!H16</f>
        <v>996000</v>
      </c>
      <c r="E17" s="81"/>
      <c r="F17" s="79"/>
      <c r="G17" s="52"/>
      <c r="H17" s="55"/>
    </row>
    <row r="18" spans="2:8" x14ac:dyDescent="0.3">
      <c r="B18" s="50" t="s">
        <v>246</v>
      </c>
      <c r="C18" s="51"/>
      <c r="D18" s="161">
        <f>'Bijkomende Kosten'!H17</f>
        <v>368000</v>
      </c>
      <c r="E18" s="81"/>
      <c r="F18" s="79"/>
      <c r="G18" s="52"/>
      <c r="H18" s="55"/>
    </row>
    <row r="19" spans="2:8" x14ac:dyDescent="0.3">
      <c r="B19" s="50" t="s">
        <v>248</v>
      </c>
      <c r="C19" s="51"/>
      <c r="D19" s="161">
        <f>'Bijkomende Kosten'!H18</f>
        <v>30030.000000000004</v>
      </c>
      <c r="E19" s="81"/>
      <c r="F19" s="79"/>
      <c r="G19" s="52"/>
      <c r="H19" s="55"/>
    </row>
    <row r="20" spans="2:8" x14ac:dyDescent="0.3">
      <c r="B20" s="50" t="s">
        <v>247</v>
      </c>
      <c r="C20" s="51"/>
      <c r="D20" s="161">
        <f>'Bijkomende Kosten'!H19</f>
        <v>575000</v>
      </c>
      <c r="E20" s="81"/>
      <c r="F20" s="79"/>
      <c r="G20" s="52"/>
      <c r="H20" s="55"/>
    </row>
    <row r="21" spans="2:8" x14ac:dyDescent="0.3">
      <c r="B21" s="50" t="s">
        <v>210</v>
      </c>
      <c r="C21" s="51"/>
      <c r="D21" s="161">
        <f>'Bijkomende Kosten'!H20</f>
        <v>296650</v>
      </c>
      <c r="E21" s="81"/>
      <c r="F21" s="79"/>
      <c r="G21" s="52"/>
      <c r="H21" s="55"/>
    </row>
    <row r="22" spans="2:8" x14ac:dyDescent="0.3">
      <c r="B22" s="50" t="s">
        <v>249</v>
      </c>
      <c r="C22" s="51"/>
      <c r="D22" s="161">
        <f>'Bijkomende Kosten'!H21</f>
        <v>80000</v>
      </c>
      <c r="E22" s="81"/>
      <c r="F22" s="79"/>
      <c r="G22" s="52"/>
      <c r="H22" s="55"/>
    </row>
    <row r="23" spans="2:8" x14ac:dyDescent="0.3">
      <c r="B23" s="91" t="s">
        <v>212</v>
      </c>
      <c r="C23" s="51"/>
      <c r="D23" s="161">
        <f>'Bijkomende Kosten'!H22</f>
        <v>31800</v>
      </c>
      <c r="E23" s="52"/>
      <c r="F23" s="79"/>
      <c r="G23" s="52"/>
      <c r="H23" s="55"/>
    </row>
    <row r="24" spans="2:8" x14ac:dyDescent="0.3">
      <c r="B24" s="91" t="s">
        <v>258</v>
      </c>
      <c r="C24" s="51"/>
      <c r="D24" s="161">
        <f>SUM(D7:D23)*0.2</f>
        <v>649641.29802400013</v>
      </c>
      <c r="E24" s="52"/>
      <c r="F24" s="79"/>
      <c r="G24" s="52"/>
      <c r="H24" s="55"/>
    </row>
    <row r="25" spans="2:8" x14ac:dyDescent="0.3">
      <c r="B25" s="155" t="s">
        <v>259</v>
      </c>
      <c r="C25" s="51"/>
      <c r="D25" s="56"/>
      <c r="E25" s="87">
        <f>SUM(D7:D24)</f>
        <v>3897847.7881440003</v>
      </c>
      <c r="F25" s="154"/>
      <c r="G25" s="87"/>
      <c r="H25" s="57"/>
    </row>
    <row r="26" spans="2:8" x14ac:dyDescent="0.3">
      <c r="B26" s="50" t="s">
        <v>253</v>
      </c>
      <c r="C26" s="51"/>
      <c r="D26" s="161">
        <f>E$25*E26</f>
        <v>194892.38940720004</v>
      </c>
      <c r="E26" s="156">
        <v>0.05</v>
      </c>
      <c r="F26" s="79"/>
      <c r="G26" s="52"/>
      <c r="H26" s="55"/>
    </row>
    <row r="27" spans="2:8" x14ac:dyDescent="0.3">
      <c r="B27" s="50" t="s">
        <v>254</v>
      </c>
      <c r="C27" s="51"/>
      <c r="D27" s="161">
        <f>E$25*E27</f>
        <v>38978.477881440005</v>
      </c>
      <c r="E27" s="156">
        <v>0.01</v>
      </c>
      <c r="F27" s="79"/>
      <c r="G27" s="52"/>
      <c r="H27" s="55"/>
    </row>
    <row r="28" spans="2:8" x14ac:dyDescent="0.3">
      <c r="B28" s="50" t="s">
        <v>255</v>
      </c>
      <c r="C28" s="51"/>
      <c r="D28" s="161">
        <f>E$25*E28</f>
        <v>194892.38940720004</v>
      </c>
      <c r="E28" s="156">
        <v>0.05</v>
      </c>
      <c r="F28" s="79"/>
      <c r="G28" s="52"/>
      <c r="H28" s="55"/>
    </row>
    <row r="29" spans="2:8" x14ac:dyDescent="0.3">
      <c r="B29" s="50" t="s">
        <v>256</v>
      </c>
      <c r="C29" s="51"/>
      <c r="D29" s="161">
        <f>E$25*E29</f>
        <v>194892.38940720004</v>
      </c>
      <c r="E29" s="156">
        <v>0.05</v>
      </c>
      <c r="F29" s="79"/>
      <c r="G29" s="52"/>
      <c r="H29" s="55"/>
    </row>
    <row r="30" spans="2:8" x14ac:dyDescent="0.3">
      <c r="B30" s="91" t="s">
        <v>257</v>
      </c>
      <c r="C30" s="51"/>
      <c r="D30" s="163">
        <v>100000</v>
      </c>
      <c r="F30" s="79"/>
      <c r="G30" s="52"/>
      <c r="H30" s="55"/>
    </row>
    <row r="31" spans="2:8" x14ac:dyDescent="0.3">
      <c r="B31" s="155" t="s">
        <v>271</v>
      </c>
      <c r="C31" s="51"/>
      <c r="D31" s="56"/>
      <c r="E31" s="87">
        <f>SUM(D7:D30)+D5</f>
        <v>5221503.4342470402</v>
      </c>
      <c r="F31" s="154"/>
      <c r="G31" s="87"/>
      <c r="H31" s="57"/>
    </row>
    <row r="32" spans="2:8" x14ac:dyDescent="0.3">
      <c r="B32" s="91"/>
      <c r="C32" s="51"/>
      <c r="D32" s="62"/>
      <c r="E32" s="157"/>
      <c r="F32" s="79"/>
      <c r="G32" s="52"/>
      <c r="H32" s="55"/>
    </row>
    <row r="33" spans="2:8" x14ac:dyDescent="0.3">
      <c r="B33" s="50" t="s">
        <v>241</v>
      </c>
      <c r="C33" s="51"/>
      <c r="D33" s="162">
        <f>Exploitatiekosten!K17</f>
        <v>441199.19999999995</v>
      </c>
      <c r="E33" s="156"/>
      <c r="F33" s="79"/>
      <c r="G33" s="52"/>
      <c r="H33" s="55"/>
    </row>
    <row r="34" spans="2:8" x14ac:dyDescent="0.3">
      <c r="B34" s="50" t="s">
        <v>242</v>
      </c>
      <c r="C34" s="51"/>
      <c r="D34" s="162">
        <f>Zonnepanelen!P9/35</f>
        <v>4828.5600000000222</v>
      </c>
      <c r="E34" s="156"/>
      <c r="F34" s="79"/>
      <c r="G34" s="52"/>
      <c r="H34" s="55"/>
    </row>
    <row r="35" spans="2:8" x14ac:dyDescent="0.3">
      <c r="B35" s="159" t="s">
        <v>260</v>
      </c>
      <c r="C35" s="51"/>
      <c r="D35" s="160">
        <f>E31/SUM(D33:D34)</f>
        <v>11.706678154397926</v>
      </c>
      <c r="E35" s="158"/>
      <c r="F35" s="154"/>
      <c r="G35" s="87"/>
      <c r="H35" s="57"/>
    </row>
    <row r="36" spans="2:8" x14ac:dyDescent="0.3">
      <c r="B36" s="91"/>
      <c r="C36" s="51"/>
      <c r="D36" s="62"/>
      <c r="E36" s="157"/>
      <c r="F36" s="79"/>
      <c r="G36" s="52"/>
      <c r="H36" s="55"/>
    </row>
    <row r="37" spans="2:8" x14ac:dyDescent="0.3">
      <c r="B37" s="50" t="s">
        <v>273</v>
      </c>
      <c r="C37" s="51"/>
      <c r="D37" s="162">
        <f>((D33+D34)*20)-E31</f>
        <v>3699051.7657529591</v>
      </c>
      <c r="E37" s="156"/>
      <c r="F37" s="79"/>
      <c r="G37" s="52"/>
      <c r="H37" s="55"/>
    </row>
    <row r="38" spans="2:8" x14ac:dyDescent="0.3">
      <c r="B38" s="159"/>
      <c r="C38" s="51"/>
      <c r="D38" s="160"/>
      <c r="E38" s="158"/>
      <c r="F38" s="154"/>
      <c r="G38" s="87"/>
      <c r="H38" s="57"/>
    </row>
    <row r="45" spans="2:8" x14ac:dyDescent="0.3">
      <c r="B45" s="101" t="s">
        <v>149</v>
      </c>
    </row>
    <row r="46" spans="2:8" ht="15.6" x14ac:dyDescent="0.3">
      <c r="B46" s="102" t="s">
        <v>150</v>
      </c>
    </row>
    <row r="48" spans="2:8" x14ac:dyDescent="0.3">
      <c r="B48" s="101" t="s">
        <v>151</v>
      </c>
    </row>
    <row r="49" spans="2:2" ht="15.6" x14ac:dyDescent="0.3">
      <c r="B49" s="102" t="s">
        <v>152</v>
      </c>
    </row>
    <row r="51" spans="2:2" x14ac:dyDescent="0.3">
      <c r="B51" s="101" t="s">
        <v>153</v>
      </c>
    </row>
    <row r="52" spans="2:2" ht="15.6" x14ac:dyDescent="0.3">
      <c r="B52" s="102" t="s">
        <v>154</v>
      </c>
    </row>
    <row r="54" spans="2:2" x14ac:dyDescent="0.3">
      <c r="B54" s="101" t="s">
        <v>155</v>
      </c>
    </row>
    <row r="55" spans="2:2" ht="15.6" x14ac:dyDescent="0.3">
      <c r="B55" s="102" t="s">
        <v>156</v>
      </c>
    </row>
    <row r="57" spans="2:2" x14ac:dyDescent="0.3">
      <c r="B57" s="101" t="s">
        <v>157</v>
      </c>
    </row>
    <row r="58" spans="2:2" ht="15.6" x14ac:dyDescent="0.3">
      <c r="B58" s="102" t="s">
        <v>158</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32FE-443D-4B0B-B85C-E5D72CF31135}">
  <dimension ref="A1:Q110"/>
  <sheetViews>
    <sheetView zoomScale="70" zoomScaleNormal="70" workbookViewId="0">
      <selection activeCell="G12" sqref="G12"/>
    </sheetView>
  </sheetViews>
  <sheetFormatPr defaultRowHeight="14.4" x14ac:dyDescent="0.3"/>
  <cols>
    <col min="2" max="2" width="38.5546875" customWidth="1"/>
    <col min="3" max="3" width="11.77734375" customWidth="1"/>
    <col min="4" max="4" width="23.5546875" customWidth="1"/>
    <col min="5" max="5" width="19.77734375" customWidth="1"/>
    <col min="6" max="6" width="13.21875" customWidth="1"/>
    <col min="7" max="7" width="12.6640625" bestFit="1" customWidth="1"/>
    <col min="8" max="8" width="24.33203125" customWidth="1"/>
    <col min="9" max="9" width="11.33203125" customWidth="1"/>
    <col min="10" max="10" width="26.109375" customWidth="1"/>
    <col min="11" max="11" width="12.33203125" bestFit="1" customWidth="1"/>
    <col min="14" max="14" width="12" bestFit="1" customWidth="1"/>
    <col min="17" max="17" width="17.21875" bestFit="1" customWidth="1"/>
  </cols>
  <sheetData>
    <row r="1" spans="1:17" x14ac:dyDescent="0.3">
      <c r="A1" s="43"/>
      <c r="B1" s="43"/>
      <c r="C1" s="43"/>
      <c r="D1" s="43"/>
      <c r="E1" s="43"/>
      <c r="F1" s="43"/>
      <c r="G1" s="43"/>
      <c r="H1" s="43"/>
      <c r="I1" s="43"/>
      <c r="J1" s="43"/>
      <c r="K1" s="43"/>
      <c r="L1" s="43"/>
      <c r="M1" s="43"/>
      <c r="N1" s="43"/>
    </row>
    <row r="2" spans="1:17" x14ac:dyDescent="0.3">
      <c r="A2" s="43"/>
      <c r="B2" s="39" t="s">
        <v>1</v>
      </c>
      <c r="C2" s="40"/>
      <c r="D2" s="40"/>
      <c r="E2" s="40"/>
      <c r="F2" s="40"/>
      <c r="G2" s="40"/>
      <c r="H2" s="40"/>
      <c r="I2" s="40"/>
      <c r="J2" s="40"/>
      <c r="K2" s="40"/>
      <c r="L2" s="40"/>
      <c r="M2" s="41"/>
      <c r="N2" s="43" t="s">
        <v>2</v>
      </c>
      <c r="O2">
        <v>15000</v>
      </c>
      <c r="Q2" t="s">
        <v>6</v>
      </c>
    </row>
    <row r="3" spans="1:17" x14ac:dyDescent="0.3">
      <c r="A3" s="43"/>
      <c r="B3" s="42" t="s">
        <v>61</v>
      </c>
      <c r="C3" s="43"/>
      <c r="D3" s="43"/>
      <c r="E3" s="43"/>
      <c r="F3" s="43"/>
      <c r="G3" s="43"/>
      <c r="H3" s="43"/>
      <c r="I3" s="43"/>
      <c r="J3" s="43"/>
      <c r="K3" s="43"/>
      <c r="L3" s="43"/>
      <c r="M3" s="44"/>
      <c r="N3" s="43" t="s">
        <v>3</v>
      </c>
      <c r="O3">
        <v>9000</v>
      </c>
      <c r="Q3" t="s">
        <v>7</v>
      </c>
    </row>
    <row r="4" spans="1:17" x14ac:dyDescent="0.3">
      <c r="A4" s="43"/>
      <c r="B4" s="42" t="s">
        <v>62</v>
      </c>
      <c r="C4" s="43"/>
      <c r="D4" s="43"/>
      <c r="E4" s="43"/>
      <c r="F4" s="43"/>
      <c r="G4" s="43"/>
      <c r="H4" s="43"/>
      <c r="I4" s="43"/>
      <c r="J4" s="43"/>
      <c r="K4" s="43"/>
      <c r="L4" s="43"/>
      <c r="M4" s="44"/>
      <c r="N4" s="43" t="s">
        <v>4</v>
      </c>
      <c r="O4">
        <v>3850</v>
      </c>
      <c r="Q4" t="s">
        <v>8</v>
      </c>
    </row>
    <row r="5" spans="1:17" x14ac:dyDescent="0.3">
      <c r="A5" s="43"/>
      <c r="B5" s="42" t="s">
        <v>10</v>
      </c>
      <c r="C5" s="43"/>
      <c r="D5" s="43"/>
      <c r="E5" s="43"/>
      <c r="F5" s="43"/>
      <c r="G5" s="43"/>
      <c r="H5" s="43"/>
      <c r="I5" s="43"/>
      <c r="J5" s="43"/>
      <c r="K5" s="43"/>
      <c r="L5" s="43"/>
      <c r="M5" s="44"/>
      <c r="N5" s="43"/>
      <c r="Q5" t="s">
        <v>9</v>
      </c>
    </row>
    <row r="6" spans="1:17" x14ac:dyDescent="0.3">
      <c r="A6" s="43"/>
      <c r="B6" s="42"/>
      <c r="C6" s="43"/>
      <c r="D6" s="43"/>
      <c r="E6" s="43"/>
      <c r="F6" s="43"/>
      <c r="G6" s="43"/>
      <c r="H6" s="43"/>
      <c r="I6" s="43"/>
      <c r="J6" s="43"/>
      <c r="K6" s="43"/>
      <c r="L6" s="43"/>
      <c r="M6" s="44"/>
      <c r="N6" s="43"/>
    </row>
    <row r="7" spans="1:17" x14ac:dyDescent="0.3">
      <c r="A7" s="43"/>
      <c r="B7" s="42" t="s">
        <v>11</v>
      </c>
      <c r="C7" s="43"/>
      <c r="D7" s="43"/>
      <c r="E7" s="43"/>
      <c r="F7" s="43"/>
      <c r="G7" s="43"/>
      <c r="H7" s="43"/>
      <c r="I7" s="43"/>
      <c r="J7" s="43"/>
      <c r="K7" s="43"/>
      <c r="L7" s="43"/>
      <c r="M7" s="44"/>
      <c r="N7" s="43"/>
    </row>
    <row r="8" spans="1:17" x14ac:dyDescent="0.3">
      <c r="A8" s="43"/>
      <c r="B8" s="42" t="s">
        <v>12</v>
      </c>
      <c r="C8" s="43"/>
      <c r="D8" s="43"/>
      <c r="E8" s="43"/>
      <c r="F8" s="43"/>
      <c r="G8" s="43"/>
      <c r="H8" s="43"/>
      <c r="I8" s="43"/>
      <c r="J8" s="43"/>
      <c r="K8" s="43"/>
      <c r="L8" s="43"/>
      <c r="M8" s="44"/>
      <c r="N8" s="43"/>
    </row>
    <row r="9" spans="1:17" x14ac:dyDescent="0.3">
      <c r="A9" s="43"/>
      <c r="B9" s="42" t="s">
        <v>13</v>
      </c>
      <c r="C9" s="43"/>
      <c r="D9" s="43"/>
      <c r="E9" s="43"/>
      <c r="F9" s="43"/>
      <c r="G9" s="43"/>
      <c r="H9" s="43"/>
      <c r="I9" s="43"/>
      <c r="J9" s="43"/>
      <c r="K9" s="43"/>
      <c r="L9" s="43"/>
      <c r="M9" s="44"/>
      <c r="N9" s="43"/>
    </row>
    <row r="10" spans="1:17" x14ac:dyDescent="0.3">
      <c r="A10" s="43"/>
      <c r="B10" s="42" t="s">
        <v>46</v>
      </c>
      <c r="C10" s="43"/>
      <c r="D10" s="43"/>
      <c r="E10" s="43"/>
      <c r="F10" s="43"/>
      <c r="G10" s="43"/>
      <c r="H10" s="43"/>
      <c r="I10" s="43"/>
      <c r="J10" s="43"/>
      <c r="K10" s="43"/>
      <c r="L10" s="43"/>
      <c r="M10" s="44"/>
      <c r="N10" s="43"/>
    </row>
    <row r="11" spans="1:17" x14ac:dyDescent="0.3">
      <c r="A11" s="43"/>
      <c r="B11" s="71" t="s">
        <v>47</v>
      </c>
      <c r="C11" s="43"/>
      <c r="D11" s="43"/>
      <c r="E11" s="43"/>
      <c r="F11" s="43"/>
      <c r="G11" s="43"/>
      <c r="H11" s="43"/>
      <c r="I11" s="43"/>
      <c r="J11" s="43"/>
      <c r="K11" s="43"/>
      <c r="L11" s="43"/>
      <c r="M11" s="44"/>
      <c r="N11" s="43"/>
    </row>
    <row r="12" spans="1:17" x14ac:dyDescent="0.3">
      <c r="A12" s="43"/>
      <c r="B12" s="72"/>
      <c r="C12" s="73"/>
      <c r="D12" s="73"/>
      <c r="E12" s="73"/>
      <c r="F12" s="73"/>
      <c r="G12" s="73"/>
      <c r="H12" s="73"/>
      <c r="I12" s="73"/>
      <c r="J12" s="73"/>
      <c r="K12" s="73"/>
      <c r="L12" s="73"/>
      <c r="M12" s="74"/>
      <c r="N12" s="43"/>
    </row>
    <row r="13" spans="1:17" x14ac:dyDescent="0.3">
      <c r="A13" s="43"/>
      <c r="B13" s="43"/>
      <c r="C13" s="43"/>
      <c r="D13" s="43"/>
      <c r="E13" s="43"/>
      <c r="F13" s="43"/>
      <c r="G13" s="43"/>
      <c r="H13" s="43"/>
      <c r="I13" s="43"/>
      <c r="J13" s="43"/>
      <c r="K13" s="43"/>
      <c r="L13" s="43"/>
      <c r="M13" s="43"/>
      <c r="N13" s="43"/>
    </row>
    <row r="14" spans="1:17" x14ac:dyDescent="0.3">
      <c r="B14" s="43"/>
      <c r="C14" s="43"/>
      <c r="D14" s="43"/>
      <c r="E14" s="43"/>
      <c r="F14" s="43"/>
      <c r="G14" s="43"/>
      <c r="H14" s="43"/>
      <c r="I14" s="43"/>
      <c r="J14" s="43"/>
      <c r="K14" s="43"/>
      <c r="L14" s="43"/>
      <c r="M14" s="43"/>
    </row>
    <row r="15" spans="1:17" x14ac:dyDescent="0.3">
      <c r="B15" s="43"/>
      <c r="C15" s="43"/>
      <c r="D15" s="43"/>
      <c r="E15" s="43"/>
      <c r="F15" s="43"/>
      <c r="G15" s="43"/>
      <c r="H15" s="43"/>
      <c r="I15" s="43"/>
      <c r="J15" s="43"/>
      <c r="K15" s="43"/>
      <c r="L15" s="43"/>
      <c r="M15" s="43"/>
    </row>
    <row r="16" spans="1:17" x14ac:dyDescent="0.3">
      <c r="B16" s="43"/>
      <c r="C16" s="43"/>
      <c r="D16" s="43"/>
      <c r="E16" s="43"/>
      <c r="F16" s="43"/>
      <c r="G16" s="43"/>
      <c r="H16" s="43"/>
      <c r="I16" s="43"/>
      <c r="J16" s="43"/>
      <c r="K16" s="43"/>
      <c r="L16" s="43"/>
      <c r="M16" s="43"/>
    </row>
    <row r="17" spans="2:16" x14ac:dyDescent="0.3">
      <c r="B17" s="43"/>
      <c r="C17" s="43"/>
      <c r="D17" s="43"/>
      <c r="E17" s="43"/>
      <c r="F17" s="43"/>
      <c r="G17" s="43"/>
      <c r="H17" s="43"/>
      <c r="I17" s="43"/>
      <c r="J17" s="43"/>
      <c r="K17" s="43"/>
      <c r="L17" s="43"/>
      <c r="M17" s="43"/>
    </row>
    <row r="18" spans="2:16" x14ac:dyDescent="0.3">
      <c r="B18" s="43"/>
      <c r="C18" s="43"/>
      <c r="D18" s="43"/>
      <c r="E18" s="43"/>
      <c r="F18" s="43"/>
      <c r="G18" s="43"/>
      <c r="H18" s="43"/>
      <c r="I18" s="43"/>
      <c r="J18" s="43"/>
      <c r="K18" s="43"/>
      <c r="L18" s="43"/>
      <c r="M18" s="43"/>
    </row>
    <row r="23" spans="2:16" x14ac:dyDescent="0.3">
      <c r="B23" s="49" t="s">
        <v>64</v>
      </c>
      <c r="C23" s="50"/>
      <c r="D23" s="50" t="s">
        <v>56</v>
      </c>
      <c r="E23" s="50" t="s">
        <v>3</v>
      </c>
      <c r="F23" s="50" t="s">
        <v>4</v>
      </c>
      <c r="G23" s="50" t="s">
        <v>2</v>
      </c>
      <c r="H23" s="50" t="s">
        <v>14</v>
      </c>
      <c r="I23" s="50" t="s">
        <v>58</v>
      </c>
      <c r="J23" s="50" t="s">
        <v>89</v>
      </c>
      <c r="K23" s="50" t="s">
        <v>85</v>
      </c>
    </row>
    <row r="24" spans="2:16" x14ac:dyDescent="0.3">
      <c r="B24" s="50" t="s">
        <v>57</v>
      </c>
      <c r="C24" s="51"/>
      <c r="D24" s="56">
        <v>80</v>
      </c>
      <c r="E24" s="1">
        <v>1</v>
      </c>
      <c r="F24" s="1">
        <v>1</v>
      </c>
      <c r="G24" s="63">
        <v>0</v>
      </c>
      <c r="H24" s="1">
        <f>E24*F24</f>
        <v>1</v>
      </c>
      <c r="I24" s="57"/>
      <c r="J24" s="1"/>
      <c r="K24" s="1"/>
    </row>
    <row r="25" spans="2:16" x14ac:dyDescent="0.3">
      <c r="B25" s="50" t="s">
        <v>52</v>
      </c>
      <c r="C25" s="51"/>
      <c r="D25" s="62">
        <v>80</v>
      </c>
      <c r="E25" s="12">
        <v>15</v>
      </c>
      <c r="F25" s="58">
        <v>3.85</v>
      </c>
      <c r="G25" s="59">
        <v>0</v>
      </c>
      <c r="H25" s="60">
        <f>E25*F25</f>
        <v>57.75</v>
      </c>
      <c r="I25" s="12"/>
      <c r="J25" s="12"/>
      <c r="K25" s="69">
        <f>H25*D25</f>
        <v>4620</v>
      </c>
    </row>
    <row r="26" spans="2:16" x14ac:dyDescent="0.3">
      <c r="B26" s="50" t="s">
        <v>53</v>
      </c>
      <c r="C26" s="53"/>
      <c r="D26" s="62">
        <v>80</v>
      </c>
      <c r="E26" s="12">
        <v>9</v>
      </c>
      <c r="F26" s="58">
        <v>3.85</v>
      </c>
      <c r="G26" s="59">
        <v>0</v>
      </c>
      <c r="H26" s="60">
        <f>E26*F26</f>
        <v>34.65</v>
      </c>
      <c r="I26" s="12"/>
      <c r="J26" s="12"/>
      <c r="K26" s="69">
        <f>H26*D26</f>
        <v>2772</v>
      </c>
      <c r="M26" s="43"/>
      <c r="N26" s="43"/>
      <c r="O26" s="43"/>
      <c r="P26" s="43"/>
    </row>
    <row r="27" spans="2:16" x14ac:dyDescent="0.3">
      <c r="B27" s="50" t="s">
        <v>54</v>
      </c>
      <c r="C27" s="54"/>
      <c r="D27" s="62">
        <v>80</v>
      </c>
      <c r="E27" s="12">
        <v>15</v>
      </c>
      <c r="F27" s="58">
        <v>3.85</v>
      </c>
      <c r="G27" s="59">
        <v>0</v>
      </c>
      <c r="H27" s="60">
        <f>E27*F27</f>
        <v>57.75</v>
      </c>
      <c r="I27" s="12"/>
      <c r="J27" s="12"/>
      <c r="K27" s="69">
        <f>H27*D27</f>
        <v>4620</v>
      </c>
      <c r="M27" s="43"/>
      <c r="N27" s="43"/>
      <c r="O27" s="43"/>
      <c r="P27" s="43"/>
    </row>
    <row r="28" spans="2:16" x14ac:dyDescent="0.3">
      <c r="B28" s="50" t="s">
        <v>55</v>
      </c>
      <c r="C28" s="51"/>
      <c r="D28" s="62">
        <v>80</v>
      </c>
      <c r="E28" s="12">
        <v>9</v>
      </c>
      <c r="F28" s="58">
        <v>3.85</v>
      </c>
      <c r="G28" s="59">
        <v>0</v>
      </c>
      <c r="H28" s="60">
        <f>E28*F28</f>
        <v>34.65</v>
      </c>
      <c r="I28" s="12"/>
      <c r="J28" s="12"/>
      <c r="K28" s="69">
        <f>H28*D28</f>
        <v>2772</v>
      </c>
      <c r="M28" s="43"/>
      <c r="N28" s="43"/>
      <c r="O28" s="43"/>
      <c r="P28" s="43"/>
    </row>
    <row r="29" spans="2:16" x14ac:dyDescent="0.3">
      <c r="B29" s="50" t="s">
        <v>59</v>
      </c>
      <c r="C29" s="51"/>
      <c r="D29" s="55"/>
      <c r="E29" s="12">
        <v>15</v>
      </c>
      <c r="F29" s="58">
        <v>0</v>
      </c>
      <c r="G29" s="59">
        <v>9</v>
      </c>
      <c r="H29" s="12">
        <f>E29*G29</f>
        <v>135</v>
      </c>
      <c r="I29" s="52"/>
      <c r="J29" s="12"/>
      <c r="K29" s="55">
        <f>H29*J66</f>
        <v>21870</v>
      </c>
      <c r="M29" s="43"/>
      <c r="N29" s="43"/>
      <c r="O29" s="43"/>
      <c r="P29" s="43"/>
    </row>
    <row r="30" spans="2:16" x14ac:dyDescent="0.3">
      <c r="B30" s="50" t="s">
        <v>60</v>
      </c>
      <c r="C30" s="51"/>
      <c r="D30" s="55"/>
      <c r="E30" s="12">
        <v>15</v>
      </c>
      <c r="F30" s="58">
        <v>0</v>
      </c>
      <c r="G30" s="59">
        <v>9</v>
      </c>
      <c r="H30" s="12">
        <f>E30*G30</f>
        <v>135</v>
      </c>
      <c r="I30" s="52"/>
      <c r="J30" s="12"/>
      <c r="K30" s="55">
        <f>H30*J75</f>
        <v>22275</v>
      </c>
      <c r="M30" s="43"/>
      <c r="N30" s="43"/>
      <c r="O30" s="43"/>
      <c r="P30" s="43"/>
    </row>
    <row r="31" spans="2:16" x14ac:dyDescent="0.3">
      <c r="B31" s="50" t="s">
        <v>63</v>
      </c>
      <c r="C31" s="51"/>
      <c r="D31" s="55"/>
      <c r="E31" s="12"/>
      <c r="F31" s="12"/>
      <c r="G31" s="12"/>
      <c r="H31" s="12"/>
      <c r="I31" s="52">
        <v>5000</v>
      </c>
      <c r="J31" s="12"/>
      <c r="K31" s="12"/>
      <c r="M31" s="43"/>
      <c r="N31" s="43"/>
      <c r="O31" s="43"/>
      <c r="P31" s="43"/>
    </row>
    <row r="32" spans="2:16" x14ac:dyDescent="0.3">
      <c r="B32" s="50"/>
      <c r="C32" s="51"/>
      <c r="D32" s="12"/>
      <c r="E32" s="52"/>
      <c r="F32" s="12"/>
      <c r="G32" s="12"/>
      <c r="H32" s="12"/>
      <c r="I32" s="52"/>
      <c r="J32" s="55"/>
      <c r="K32" s="12"/>
      <c r="M32" s="43"/>
      <c r="N32" s="43"/>
      <c r="O32" s="43"/>
      <c r="P32" s="43"/>
    </row>
    <row r="33" spans="2:16" x14ac:dyDescent="0.3">
      <c r="B33" s="50"/>
      <c r="C33" s="51"/>
      <c r="D33" s="55"/>
      <c r="E33" s="12"/>
      <c r="F33" s="52"/>
      <c r="G33" s="52"/>
      <c r="H33" s="12"/>
      <c r="I33" s="52"/>
      <c r="J33" s="12"/>
      <c r="K33" s="12"/>
      <c r="M33" s="43"/>
      <c r="N33" s="43"/>
      <c r="O33" s="43"/>
      <c r="P33" s="43"/>
    </row>
    <row r="34" spans="2:16" x14ac:dyDescent="0.3">
      <c r="B34" s="50"/>
      <c r="C34" s="51"/>
      <c r="D34" s="12"/>
      <c r="E34" s="12"/>
      <c r="F34" s="12"/>
      <c r="G34" s="12"/>
      <c r="H34" s="12"/>
      <c r="I34" s="52"/>
      <c r="J34" s="12"/>
      <c r="K34" s="55">
        <f>SUM(I25:I33)+SUM(K25:K33)-SUM(J25:J33)</f>
        <v>63929</v>
      </c>
      <c r="M34" s="43"/>
      <c r="N34" s="43"/>
      <c r="O34" s="43"/>
      <c r="P34" s="43"/>
    </row>
    <row r="35" spans="2:16" x14ac:dyDescent="0.3">
      <c r="M35" s="43"/>
      <c r="N35" s="43"/>
      <c r="O35" s="43"/>
      <c r="P35" s="43"/>
    </row>
    <row r="36" spans="2:16" x14ac:dyDescent="0.3">
      <c r="B36" s="49" t="s">
        <v>120</v>
      </c>
      <c r="C36" s="50"/>
      <c r="D36" s="50" t="s">
        <v>14</v>
      </c>
      <c r="E36" s="50" t="s">
        <v>126</v>
      </c>
      <c r="F36" s="50" t="s">
        <v>110</v>
      </c>
      <c r="G36" s="50" t="s">
        <v>109</v>
      </c>
      <c r="H36" s="50" t="s">
        <v>127</v>
      </c>
      <c r="M36" s="43"/>
      <c r="N36" s="43"/>
      <c r="O36" s="43"/>
      <c r="P36" s="43"/>
    </row>
    <row r="37" spans="2:16" x14ac:dyDescent="0.3">
      <c r="B37" s="50"/>
      <c r="C37" s="51"/>
      <c r="D37" s="56"/>
      <c r="E37" s="1"/>
      <c r="F37" s="1"/>
      <c r="G37" s="80">
        <v>40</v>
      </c>
      <c r="H37" s="1"/>
    </row>
    <row r="38" spans="2:16" x14ac:dyDescent="0.3">
      <c r="B38" s="50" t="s">
        <v>129</v>
      </c>
      <c r="C38" s="51"/>
      <c r="D38" s="75">
        <f>SUM(H25:H28)-(2*2.4)</f>
        <v>180</v>
      </c>
      <c r="E38" s="81">
        <f>2</f>
        <v>2</v>
      </c>
      <c r="F38" s="79">
        <f>E38*D38</f>
        <v>360</v>
      </c>
      <c r="G38" s="52">
        <f>F38*G$37</f>
        <v>14400</v>
      </c>
      <c r="H38" s="12"/>
    </row>
    <row r="39" spans="2:16" x14ac:dyDescent="0.3">
      <c r="B39" s="50" t="s">
        <v>59</v>
      </c>
      <c r="C39" s="53"/>
      <c r="D39" s="75">
        <f>H29</f>
        <v>135</v>
      </c>
      <c r="E39" s="81">
        <f>0.6</f>
        <v>0.6</v>
      </c>
      <c r="F39" s="79">
        <f t="shared" ref="F39:F41" si="0">E39*D39</f>
        <v>81</v>
      </c>
      <c r="G39" s="52">
        <f t="shared" ref="G39:G44" si="1">F39*G$37</f>
        <v>3240</v>
      </c>
      <c r="H39" s="12"/>
    </row>
    <row r="40" spans="2:16" x14ac:dyDescent="0.3">
      <c r="B40" s="50" t="s">
        <v>60</v>
      </c>
      <c r="C40" s="54"/>
      <c r="D40" s="75">
        <f>H30</f>
        <v>135</v>
      </c>
      <c r="E40" s="81">
        <f>0.4</f>
        <v>0.4</v>
      </c>
      <c r="F40" s="79">
        <f t="shared" si="0"/>
        <v>54</v>
      </c>
      <c r="G40" s="52">
        <f t="shared" si="1"/>
        <v>2160</v>
      </c>
      <c r="H40" s="12"/>
    </row>
    <row r="41" spans="2:16" x14ac:dyDescent="0.3">
      <c r="B41" s="50" t="s">
        <v>63</v>
      </c>
      <c r="C41" s="51"/>
      <c r="D41" s="83">
        <v>1</v>
      </c>
      <c r="E41" s="82">
        <v>15</v>
      </c>
      <c r="F41" s="79">
        <f t="shared" si="0"/>
        <v>15</v>
      </c>
      <c r="G41" s="52">
        <f>F41*G$37</f>
        <v>600</v>
      </c>
      <c r="H41" s="12"/>
    </row>
    <row r="42" spans="2:16" x14ac:dyDescent="0.3">
      <c r="B42" s="50" t="s">
        <v>123</v>
      </c>
      <c r="C42" s="51"/>
      <c r="D42" s="83">
        <v>1</v>
      </c>
      <c r="E42" s="81">
        <v>1.5</v>
      </c>
      <c r="F42" s="79">
        <f t="shared" ref="F42:F44" si="2">E42*D42</f>
        <v>1.5</v>
      </c>
      <c r="G42" s="52">
        <f t="shared" si="1"/>
        <v>60</v>
      </c>
      <c r="H42" s="12"/>
    </row>
    <row r="43" spans="2:16" x14ac:dyDescent="0.3">
      <c r="B43" s="50" t="s">
        <v>124</v>
      </c>
      <c r="C43" s="51"/>
      <c r="D43" s="83">
        <v>1</v>
      </c>
      <c r="E43" s="81">
        <f>40</f>
        <v>40</v>
      </c>
      <c r="F43" s="79">
        <f t="shared" si="2"/>
        <v>40</v>
      </c>
      <c r="G43" s="52">
        <f t="shared" si="1"/>
        <v>1600</v>
      </c>
      <c r="H43" s="55"/>
    </row>
    <row r="44" spans="2:16" x14ac:dyDescent="0.3">
      <c r="B44" s="50" t="s">
        <v>125</v>
      </c>
      <c r="C44" s="51"/>
      <c r="D44" s="83">
        <v>1</v>
      </c>
      <c r="E44" s="81">
        <v>1.5</v>
      </c>
      <c r="F44" s="79">
        <f t="shared" si="2"/>
        <v>1.5</v>
      </c>
      <c r="G44" s="52">
        <f t="shared" si="1"/>
        <v>60</v>
      </c>
      <c r="H44" s="55"/>
    </row>
    <row r="45" spans="2:16" x14ac:dyDescent="0.3">
      <c r="B45" s="50"/>
      <c r="C45" s="51"/>
      <c r="D45" s="83"/>
      <c r="E45" s="81"/>
      <c r="F45" s="79"/>
      <c r="G45" s="52"/>
      <c r="H45" s="55">
        <f>SUM(G38:G45)</f>
        <v>22120</v>
      </c>
    </row>
    <row r="47" spans="2:16" x14ac:dyDescent="0.3">
      <c r="H47" s="50" t="s">
        <v>127</v>
      </c>
    </row>
    <row r="48" spans="2:16" x14ac:dyDescent="0.3">
      <c r="H48" s="57">
        <f>K34+H45</f>
        <v>86049</v>
      </c>
    </row>
    <row r="50" spans="2:10" ht="15" thickBot="1" x14ac:dyDescent="0.35"/>
    <row r="51" spans="2:10" ht="26.4" thickBot="1" x14ac:dyDescent="0.55000000000000004">
      <c r="B51" s="84" t="s">
        <v>128</v>
      </c>
      <c r="C51" s="85"/>
      <c r="D51" s="85"/>
      <c r="E51" s="85"/>
      <c r="F51" s="85"/>
      <c r="G51" s="85"/>
      <c r="H51" s="85"/>
      <c r="I51" s="85"/>
      <c r="J51" s="86"/>
    </row>
    <row r="54" spans="2:10" x14ac:dyDescent="0.3">
      <c r="B54" s="49" t="s">
        <v>90</v>
      </c>
      <c r="C54" s="50"/>
      <c r="D54" s="50" t="s">
        <v>84</v>
      </c>
      <c r="E54" s="50"/>
      <c r="F54" s="50"/>
      <c r="G54" s="50"/>
      <c r="H54" s="50"/>
      <c r="I54" s="50"/>
      <c r="J54" s="50" t="s">
        <v>86</v>
      </c>
    </row>
    <row r="55" spans="2:10" x14ac:dyDescent="0.3">
      <c r="B55" s="50"/>
      <c r="C55" s="51"/>
      <c r="D55" s="56"/>
      <c r="E55" s="1"/>
      <c r="F55" s="1"/>
      <c r="G55" s="63"/>
      <c r="H55" s="1"/>
      <c r="I55" s="57"/>
      <c r="J55" s="1"/>
    </row>
    <row r="56" spans="2:10" x14ac:dyDescent="0.3">
      <c r="B56" s="50" t="s">
        <v>103</v>
      </c>
      <c r="C56" s="51"/>
      <c r="D56" s="62"/>
      <c r="E56" s="12"/>
      <c r="F56" s="58"/>
      <c r="G56" s="59"/>
      <c r="H56" s="60"/>
      <c r="I56" s="61"/>
      <c r="J56" s="12"/>
    </row>
    <row r="57" spans="2:10" x14ac:dyDescent="0.3">
      <c r="B57" s="50"/>
      <c r="C57" s="51"/>
      <c r="D57" s="52"/>
      <c r="E57" s="52"/>
      <c r="F57" s="12"/>
      <c r="G57" s="12"/>
      <c r="H57" s="12"/>
      <c r="I57" s="12"/>
      <c r="J57" s="55" t="s">
        <v>104</v>
      </c>
    </row>
    <row r="59" spans="2:10" x14ac:dyDescent="0.3">
      <c r="B59" s="49" t="s">
        <v>91</v>
      </c>
      <c r="C59" s="50"/>
      <c r="D59" s="50" t="s">
        <v>84</v>
      </c>
      <c r="E59" s="50"/>
      <c r="F59" s="50"/>
      <c r="G59" s="50"/>
      <c r="H59" s="50"/>
      <c r="I59" s="50"/>
      <c r="J59" s="50" t="s">
        <v>86</v>
      </c>
    </row>
    <row r="60" spans="2:10" x14ac:dyDescent="0.3">
      <c r="B60" s="50"/>
      <c r="C60" s="51"/>
      <c r="D60" s="56"/>
      <c r="E60" s="1"/>
      <c r="F60" s="1"/>
      <c r="G60" s="63"/>
      <c r="H60" s="1"/>
      <c r="I60" s="57"/>
      <c r="J60" s="1"/>
    </row>
    <row r="61" spans="2:10" x14ac:dyDescent="0.3">
      <c r="B61" s="50" t="s">
        <v>207</v>
      </c>
      <c r="C61" s="53"/>
      <c r="D61" s="62">
        <v>40</v>
      </c>
      <c r="E61" s="12"/>
      <c r="F61" s="58"/>
      <c r="G61" s="59"/>
      <c r="H61" s="60"/>
      <c r="I61" s="61"/>
      <c r="J61" s="12"/>
    </row>
    <row r="62" spans="2:10" x14ac:dyDescent="0.3">
      <c r="B62" s="50" t="s">
        <v>81</v>
      </c>
      <c r="C62" s="54"/>
      <c r="D62" s="62">
        <v>5</v>
      </c>
      <c r="E62" s="12"/>
      <c r="F62" s="58"/>
      <c r="G62" s="59"/>
      <c r="H62" s="60"/>
      <c r="I62" s="61"/>
      <c r="J62" s="12"/>
    </row>
    <row r="63" spans="2:10" x14ac:dyDescent="0.3">
      <c r="B63" s="50" t="s">
        <v>94</v>
      </c>
      <c r="C63" s="51"/>
      <c r="D63" s="62">
        <v>60</v>
      </c>
      <c r="E63" s="12"/>
      <c r="F63" s="58"/>
      <c r="G63" s="59"/>
      <c r="H63" s="60"/>
      <c r="I63" s="61"/>
      <c r="J63" s="12"/>
    </row>
    <row r="64" spans="2:10" x14ac:dyDescent="0.3">
      <c r="B64" s="50" t="s">
        <v>83</v>
      </c>
      <c r="C64" s="51"/>
      <c r="D64" s="52">
        <v>5</v>
      </c>
      <c r="E64" s="12"/>
      <c r="F64" s="58"/>
      <c r="G64" s="59"/>
      <c r="H64" s="12"/>
      <c r="I64" s="12"/>
      <c r="J64" s="12"/>
    </row>
    <row r="65" spans="2:10" x14ac:dyDescent="0.3">
      <c r="B65" s="50" t="s">
        <v>207</v>
      </c>
      <c r="C65" s="51"/>
      <c r="D65" s="52">
        <v>40</v>
      </c>
      <c r="E65" s="12"/>
      <c r="F65" s="12"/>
      <c r="G65" s="12"/>
      <c r="H65" s="12"/>
      <c r="I65" s="12"/>
      <c r="J65" s="12"/>
    </row>
    <row r="66" spans="2:10" x14ac:dyDescent="0.3">
      <c r="B66" s="50" t="s">
        <v>102</v>
      </c>
      <c r="C66" s="51"/>
      <c r="D66" s="52">
        <v>12</v>
      </c>
      <c r="E66" s="52"/>
      <c r="F66" s="12"/>
      <c r="G66" s="12"/>
      <c r="H66" s="12"/>
      <c r="I66" s="12"/>
      <c r="J66" s="55">
        <f>SUM(D61:D66)</f>
        <v>162</v>
      </c>
    </row>
    <row r="68" spans="2:10" x14ac:dyDescent="0.3">
      <c r="B68" s="49" t="s">
        <v>96</v>
      </c>
      <c r="C68" s="50"/>
      <c r="D68" s="50" t="s">
        <v>84</v>
      </c>
      <c r="E68" s="50"/>
      <c r="F68" s="50"/>
      <c r="G68" s="50"/>
      <c r="H68" s="50"/>
      <c r="I68" s="50"/>
      <c r="J68" s="50" t="s">
        <v>86</v>
      </c>
    </row>
    <row r="69" spans="2:10" x14ac:dyDescent="0.3">
      <c r="B69" s="50"/>
      <c r="C69" s="51"/>
      <c r="D69" s="56"/>
      <c r="E69" s="1"/>
      <c r="F69" s="1"/>
      <c r="G69" s="63"/>
      <c r="H69" s="1"/>
      <c r="I69" s="57"/>
      <c r="J69" s="1"/>
    </row>
    <row r="70" spans="2:10" x14ac:dyDescent="0.3">
      <c r="B70" s="50" t="s">
        <v>99</v>
      </c>
      <c r="C70" s="51"/>
      <c r="D70" s="62">
        <v>40</v>
      </c>
      <c r="E70" s="12"/>
      <c r="F70" s="58"/>
      <c r="G70" s="59"/>
      <c r="H70" s="60"/>
      <c r="I70" s="61"/>
      <c r="J70" s="12"/>
    </row>
    <row r="71" spans="2:10" x14ac:dyDescent="0.3">
      <c r="B71" s="50" t="s">
        <v>97</v>
      </c>
      <c r="C71" s="53"/>
      <c r="D71" s="62">
        <v>15</v>
      </c>
      <c r="E71" s="12"/>
      <c r="F71" s="58"/>
      <c r="G71" s="59"/>
      <c r="H71" s="60"/>
      <c r="I71" s="61"/>
      <c r="J71" s="12"/>
    </row>
    <row r="72" spans="2:10" x14ac:dyDescent="0.3">
      <c r="B72" s="50" t="s">
        <v>94</v>
      </c>
      <c r="C72" s="54"/>
      <c r="D72" s="62">
        <v>60</v>
      </c>
      <c r="E72" s="12"/>
      <c r="F72" s="58"/>
      <c r="G72" s="59"/>
      <c r="H72" s="60"/>
      <c r="I72" s="61"/>
      <c r="J72" s="12"/>
    </row>
    <row r="73" spans="2:10" x14ac:dyDescent="0.3">
      <c r="B73" s="50" t="s">
        <v>99</v>
      </c>
      <c r="C73" s="51"/>
      <c r="D73" s="62">
        <v>40</v>
      </c>
      <c r="E73" s="12"/>
      <c r="F73" s="58"/>
      <c r="G73" s="59"/>
      <c r="H73" s="60"/>
      <c r="I73" s="61"/>
      <c r="J73" s="12"/>
    </row>
    <row r="74" spans="2:10" x14ac:dyDescent="0.3">
      <c r="B74" s="50" t="s">
        <v>98</v>
      </c>
      <c r="C74" s="51"/>
      <c r="D74" s="62">
        <v>10</v>
      </c>
      <c r="E74" s="12"/>
      <c r="F74" s="58"/>
      <c r="G74" s="59"/>
      <c r="H74" s="12"/>
      <c r="I74" s="12"/>
      <c r="J74" s="12"/>
    </row>
    <row r="75" spans="2:10" x14ac:dyDescent="0.3">
      <c r="B75" s="50"/>
      <c r="C75" s="51"/>
      <c r="D75" s="12"/>
      <c r="E75" s="52"/>
      <c r="F75" s="12"/>
      <c r="G75" s="12"/>
      <c r="H75" s="12"/>
      <c r="I75" s="12"/>
      <c r="J75" s="55">
        <f>SUM(D70:D75)</f>
        <v>165</v>
      </c>
    </row>
    <row r="78" spans="2:10" x14ac:dyDescent="0.3">
      <c r="B78" s="2" t="s">
        <v>43</v>
      </c>
      <c r="C78" s="3"/>
      <c r="D78" s="4"/>
      <c r="E78" s="4"/>
      <c r="F78" s="4"/>
      <c r="G78" s="5"/>
    </row>
    <row r="79" spans="2:10" x14ac:dyDescent="0.3">
      <c r="B79" s="6" t="s">
        <v>15</v>
      </c>
      <c r="C79" s="7" t="s">
        <v>16</v>
      </c>
      <c r="D79" s="7" t="s">
        <v>17</v>
      </c>
      <c r="E79" s="7" t="s">
        <v>18</v>
      </c>
      <c r="F79" s="7" t="s">
        <v>19</v>
      </c>
      <c r="G79" s="48"/>
      <c r="H79" s="9" t="s">
        <v>20</v>
      </c>
    </row>
    <row r="80" spans="2:10" x14ac:dyDescent="0.3">
      <c r="B80" s="10" t="s">
        <v>45</v>
      </c>
      <c r="C80" s="10">
        <v>2</v>
      </c>
      <c r="D80" s="10">
        <v>15000</v>
      </c>
      <c r="E80" s="10">
        <v>3850</v>
      </c>
      <c r="F80" s="10"/>
      <c r="G80" s="10"/>
      <c r="H80" s="46">
        <f>(D80*E80*C80)/1000000</f>
        <v>115.5</v>
      </c>
    </row>
    <row r="81" spans="2:8" x14ac:dyDescent="0.3">
      <c r="B81" s="10" t="s">
        <v>44</v>
      </c>
      <c r="C81" s="10">
        <v>2</v>
      </c>
      <c r="D81" s="10">
        <v>9000</v>
      </c>
      <c r="E81" s="10">
        <v>3850</v>
      </c>
      <c r="F81" s="10"/>
      <c r="G81" s="10"/>
      <c r="H81" s="46">
        <f>(D81*E81*C81)/1000000</f>
        <v>69.3</v>
      </c>
    </row>
    <row r="82" spans="2:8" x14ac:dyDescent="0.3">
      <c r="B82" s="10" t="s">
        <v>21</v>
      </c>
      <c r="C82" s="10">
        <v>0</v>
      </c>
      <c r="D82" s="10">
        <v>0</v>
      </c>
      <c r="E82" s="10">
        <v>0</v>
      </c>
      <c r="F82" s="10"/>
      <c r="G82" s="10"/>
      <c r="H82" s="46">
        <f>(D82*F82*C82)/1000000</f>
        <v>0</v>
      </c>
    </row>
    <row r="83" spans="2:8" x14ac:dyDescent="0.3">
      <c r="B83" s="10" t="s">
        <v>22</v>
      </c>
      <c r="C83" s="47">
        <f>(H80+H81)/1.5</f>
        <v>123.2</v>
      </c>
      <c r="D83" s="10">
        <v>1500</v>
      </c>
      <c r="E83" s="10">
        <v>114</v>
      </c>
      <c r="F83" s="10">
        <v>67</v>
      </c>
      <c r="G83" s="10"/>
      <c r="H83" s="46">
        <f>(D83*F83*C83)/1000000</f>
        <v>12.381600000000001</v>
      </c>
    </row>
    <row r="84" spans="2:8" x14ac:dyDescent="0.3">
      <c r="B84" s="10" t="s">
        <v>23</v>
      </c>
      <c r="C84" s="47">
        <f>(H80+H81)/1.8</f>
        <v>102.66666666666667</v>
      </c>
      <c r="D84" s="10">
        <v>1800</v>
      </c>
      <c r="E84" s="10">
        <v>114</v>
      </c>
      <c r="F84" s="10">
        <v>67</v>
      </c>
      <c r="G84" s="10"/>
      <c r="H84" s="46">
        <f>(D84*F84*C84)/1000000</f>
        <v>12.381600000000001</v>
      </c>
    </row>
    <row r="85" spans="2:8" x14ac:dyDescent="0.3">
      <c r="B85" s="10" t="s">
        <v>24</v>
      </c>
      <c r="C85" s="10"/>
      <c r="D85" s="10"/>
      <c r="E85" s="10"/>
      <c r="F85" s="10"/>
      <c r="G85" s="10"/>
      <c r="H85" s="46">
        <f>(H80+H81)-SUM(H82:H84)</f>
        <v>160.0368</v>
      </c>
    </row>
    <row r="86" spans="2:8" x14ac:dyDescent="0.3">
      <c r="B86" s="11"/>
      <c r="C86" s="11"/>
      <c r="D86" s="11"/>
      <c r="E86" s="11"/>
      <c r="F86" s="11"/>
      <c r="G86" s="11"/>
      <c r="H86" s="11"/>
    </row>
    <row r="87" spans="2:8" x14ac:dyDescent="0.3">
      <c r="B87" s="10" t="s">
        <v>25</v>
      </c>
      <c r="C87" s="12">
        <v>1</v>
      </c>
      <c r="D87" s="12"/>
      <c r="E87" s="12"/>
      <c r="F87" s="12"/>
      <c r="G87" s="12"/>
      <c r="H87" s="12"/>
    </row>
    <row r="88" spans="2:8" x14ac:dyDescent="0.3">
      <c r="B88" s="13"/>
      <c r="C88" s="13"/>
      <c r="D88" s="13"/>
      <c r="E88" s="13"/>
      <c r="F88" s="13"/>
      <c r="G88" s="13"/>
      <c r="H88" s="13"/>
    </row>
    <row r="89" spans="2:8" x14ac:dyDescent="0.3">
      <c r="B89" s="14" t="s">
        <v>26</v>
      </c>
      <c r="C89" s="14" t="s">
        <v>27</v>
      </c>
      <c r="D89" s="14" t="s">
        <v>28</v>
      </c>
      <c r="E89" s="14" t="s">
        <v>29</v>
      </c>
      <c r="F89" s="14" t="s">
        <v>30</v>
      </c>
      <c r="G89" s="15" t="s">
        <v>31</v>
      </c>
      <c r="H89" s="14" t="s">
        <v>32</v>
      </c>
    </row>
    <row r="90" spans="2:8" x14ac:dyDescent="0.3">
      <c r="B90" s="16" t="s">
        <v>33</v>
      </c>
      <c r="C90" s="17"/>
      <c r="D90" s="17"/>
      <c r="E90" s="17"/>
      <c r="F90" s="18">
        <v>1</v>
      </c>
      <c r="G90" s="19">
        <v>8000</v>
      </c>
      <c r="H90" s="20">
        <f>F90*G90*C87</f>
        <v>8000</v>
      </c>
    </row>
    <row r="91" spans="2:8" x14ac:dyDescent="0.3">
      <c r="B91" s="10" t="s">
        <v>49</v>
      </c>
      <c r="C91" s="21">
        <v>50</v>
      </c>
      <c r="D91" s="21">
        <f>75/20</f>
        <v>3.75</v>
      </c>
      <c r="E91" s="22">
        <f>C91*H85*C87</f>
        <v>8001.84</v>
      </c>
      <c r="F91" s="8"/>
      <c r="G91" s="8"/>
      <c r="H91" s="23">
        <f>E91+H90</f>
        <v>16001.84</v>
      </c>
    </row>
    <row r="92" spans="2:8" x14ac:dyDescent="0.3">
      <c r="B92" s="10" t="s">
        <v>34</v>
      </c>
      <c r="C92" s="21">
        <v>115</v>
      </c>
      <c r="D92" s="21">
        <f>140/20</f>
        <v>7</v>
      </c>
      <c r="E92" s="22">
        <f>C92*H85*C87</f>
        <v>18404.232</v>
      </c>
      <c r="F92" s="8"/>
      <c r="G92" s="8"/>
      <c r="H92" s="23">
        <f>E92+H90</f>
        <v>26404.232</v>
      </c>
    </row>
    <row r="93" spans="2:8" x14ac:dyDescent="0.3">
      <c r="B93" s="10" t="s">
        <v>35</v>
      </c>
      <c r="C93" s="21">
        <v>120</v>
      </c>
      <c r="D93" s="21">
        <f>180/20</f>
        <v>9</v>
      </c>
      <c r="E93" s="22">
        <f>C93*H85*C87</f>
        <v>19204.416000000001</v>
      </c>
      <c r="F93" s="8"/>
      <c r="G93" s="8"/>
      <c r="H93" s="23">
        <f>E93+H90</f>
        <v>27204.416000000001</v>
      </c>
    </row>
    <row r="94" spans="2:8" x14ac:dyDescent="0.3">
      <c r="B94" s="10" t="s">
        <v>36</v>
      </c>
      <c r="C94" s="21">
        <v>125</v>
      </c>
      <c r="D94" s="21">
        <f>220/20</f>
        <v>11</v>
      </c>
      <c r="E94" s="22">
        <f>C94*H85*C87</f>
        <v>20004.599999999999</v>
      </c>
      <c r="F94" s="8"/>
      <c r="G94" s="8"/>
      <c r="H94" s="23">
        <f>E94+H90</f>
        <v>28004.6</v>
      </c>
    </row>
    <row r="95" spans="2:8" x14ac:dyDescent="0.3">
      <c r="B95" s="10" t="s">
        <v>37</v>
      </c>
      <c r="C95" s="21">
        <v>130</v>
      </c>
      <c r="D95" s="21">
        <f>260/20</f>
        <v>13</v>
      </c>
      <c r="E95" s="22">
        <f>C95*H85*C87</f>
        <v>20804.784</v>
      </c>
      <c r="F95" s="8"/>
      <c r="G95" s="8"/>
      <c r="H95" s="23">
        <f>E95+H90</f>
        <v>28804.784</v>
      </c>
    </row>
    <row r="96" spans="2:8" x14ac:dyDescent="0.3">
      <c r="B96" s="10" t="s">
        <v>38</v>
      </c>
      <c r="C96" s="21">
        <v>170</v>
      </c>
      <c r="D96" s="21">
        <f>280/20</f>
        <v>14</v>
      </c>
      <c r="E96" s="22">
        <f>C96*H85*C87</f>
        <v>27206.256000000001</v>
      </c>
      <c r="F96" s="8"/>
      <c r="G96" s="8"/>
      <c r="H96" s="23">
        <f>E96+H90</f>
        <v>35206.256000000001</v>
      </c>
    </row>
    <row r="97" spans="2:8" x14ac:dyDescent="0.3">
      <c r="B97" s="14" t="s">
        <v>39</v>
      </c>
      <c r="C97" s="8"/>
      <c r="D97" s="24"/>
      <c r="E97" s="14" t="s">
        <v>40</v>
      </c>
      <c r="F97" s="24"/>
      <c r="G97" s="24"/>
      <c r="H97" s="25">
        <f>H96-H92</f>
        <v>8802.0240000000013</v>
      </c>
    </row>
    <row r="98" spans="2:8" x14ac:dyDescent="0.3">
      <c r="B98" s="13"/>
      <c r="C98" s="13"/>
      <c r="D98" s="13"/>
      <c r="E98" s="13"/>
      <c r="F98" s="13"/>
      <c r="G98" s="13"/>
      <c r="H98" s="13"/>
    </row>
    <row r="99" spans="2:8" x14ac:dyDescent="0.3">
      <c r="B99" s="14" t="s">
        <v>26</v>
      </c>
      <c r="C99" s="14"/>
      <c r="D99" s="25" t="s">
        <v>41</v>
      </c>
      <c r="E99" s="14" t="s">
        <v>40</v>
      </c>
      <c r="F99" s="24"/>
      <c r="G99" s="24"/>
      <c r="H99" s="24" t="s">
        <v>42</v>
      </c>
    </row>
    <row r="100" spans="2:8" x14ac:dyDescent="0.3">
      <c r="B100" s="10" t="s">
        <v>49</v>
      </c>
      <c r="C100" s="26"/>
      <c r="D100" s="27">
        <f t="shared" ref="D100:D105" si="3">H91</f>
        <v>16001.84</v>
      </c>
      <c r="E100" s="28">
        <f>H85*D91*C87</f>
        <v>600.13800000000003</v>
      </c>
      <c r="F100" s="24"/>
      <c r="G100" s="24"/>
      <c r="H100" s="29">
        <f>D100/E100</f>
        <v>26.663600705171142</v>
      </c>
    </row>
    <row r="101" spans="2:8" x14ac:dyDescent="0.3">
      <c r="B101" s="10" t="s">
        <v>34</v>
      </c>
      <c r="C101" s="26"/>
      <c r="D101" s="27">
        <f t="shared" si="3"/>
        <v>26404.232</v>
      </c>
      <c r="E101" s="28">
        <f>H85*D92*C87</f>
        <v>1120.2575999999999</v>
      </c>
      <c r="F101" s="24"/>
      <c r="G101" s="24"/>
      <c r="H101" s="29">
        <f>D101/E101</f>
        <v>23.569786092055971</v>
      </c>
    </row>
    <row r="102" spans="2:8" x14ac:dyDescent="0.3">
      <c r="B102" s="10" t="s">
        <v>35</v>
      </c>
      <c r="C102" s="26"/>
      <c r="D102" s="27">
        <f t="shared" si="3"/>
        <v>27204.416000000001</v>
      </c>
      <c r="E102" s="28">
        <f>H85*D93*C87</f>
        <v>1440.3312000000001</v>
      </c>
      <c r="F102" s="24"/>
      <c r="G102" s="24"/>
      <c r="H102" s="29">
        <f t="shared" ref="H102:H105" si="4">D102/E102</f>
        <v>18.887611404932422</v>
      </c>
    </row>
    <row r="103" spans="2:8" x14ac:dyDescent="0.3">
      <c r="B103" s="10" t="s">
        <v>36</v>
      </c>
      <c r="C103" s="26"/>
      <c r="D103" s="27">
        <f t="shared" si="3"/>
        <v>28004.6</v>
      </c>
      <c r="E103" s="28">
        <f>H85*D94*C87</f>
        <v>1760.4048</v>
      </c>
      <c r="F103" s="24"/>
      <c r="G103" s="24"/>
      <c r="H103" s="29">
        <f t="shared" si="4"/>
        <v>15.908045694944708</v>
      </c>
    </row>
    <row r="104" spans="2:8" x14ac:dyDescent="0.3">
      <c r="B104" s="10" t="s">
        <v>37</v>
      </c>
      <c r="C104" s="26"/>
      <c r="D104" s="27">
        <f t="shared" si="3"/>
        <v>28804.784</v>
      </c>
      <c r="E104" s="28">
        <f>H85*D95*C87</f>
        <v>2080.4784</v>
      </c>
      <c r="F104" s="24"/>
      <c r="G104" s="24"/>
      <c r="H104" s="29">
        <f t="shared" si="4"/>
        <v>13.845269434183983</v>
      </c>
    </row>
    <row r="105" spans="2:8" ht="15" thickBot="1" x14ac:dyDescent="0.35">
      <c r="B105" s="10" t="s">
        <v>48</v>
      </c>
      <c r="C105" s="26"/>
      <c r="D105" s="27">
        <f t="shared" si="3"/>
        <v>35206.256000000001</v>
      </c>
      <c r="E105" s="30">
        <f>H85*D96*C87</f>
        <v>2240.5151999999998</v>
      </c>
      <c r="F105" s="31"/>
      <c r="G105" s="31"/>
      <c r="H105" s="29">
        <f t="shared" si="4"/>
        <v>15.713464474599416</v>
      </c>
    </row>
    <row r="106" spans="2:8" ht="15" thickBot="1" x14ac:dyDescent="0.35">
      <c r="B106" s="24"/>
      <c r="C106" s="24"/>
      <c r="D106" s="32"/>
      <c r="E106" s="33" t="s">
        <v>50</v>
      </c>
      <c r="F106" s="34"/>
      <c r="G106" s="35"/>
      <c r="H106" s="142">
        <f>H103-H$100</f>
        <v>-10.755555010226434</v>
      </c>
    </row>
    <row r="107" spans="2:8" ht="15" thickBot="1" x14ac:dyDescent="0.35">
      <c r="B107" s="24"/>
      <c r="C107" s="24"/>
      <c r="D107" s="32"/>
      <c r="E107" s="33" t="s">
        <v>51</v>
      </c>
      <c r="F107" s="34"/>
      <c r="G107" s="35"/>
      <c r="H107" s="142">
        <f>H104-H$100</f>
        <v>-12.818331270987159</v>
      </c>
    </row>
    <row r="108" spans="2:8" x14ac:dyDescent="0.3">
      <c r="B108" s="13"/>
      <c r="C108" s="37"/>
      <c r="D108" s="37"/>
      <c r="E108" s="38"/>
      <c r="F108" s="38"/>
      <c r="G108" s="38"/>
      <c r="H108" s="13"/>
    </row>
    <row r="110" spans="2:8" x14ac:dyDescent="0.3">
      <c r="B110" t="s">
        <v>105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4A3B-CE1B-4CE5-BD32-92428C1AA1D1}">
  <dimension ref="B5:K109"/>
  <sheetViews>
    <sheetView zoomScale="70" zoomScaleNormal="70" workbookViewId="0">
      <selection activeCell="G49" sqref="G49"/>
    </sheetView>
  </sheetViews>
  <sheetFormatPr defaultRowHeight="14.4" x14ac:dyDescent="0.3"/>
  <cols>
    <col min="2" max="2" width="40.6640625" customWidth="1"/>
    <col min="3" max="3" width="13.6640625" customWidth="1"/>
    <col min="4" max="4" width="20.21875" customWidth="1"/>
    <col min="5" max="5" width="19.88671875" customWidth="1"/>
    <col min="6" max="6" width="13.88671875" customWidth="1"/>
    <col min="7" max="7" width="12.44140625" customWidth="1"/>
    <col min="8" max="8" width="25.21875" customWidth="1"/>
    <col min="9" max="9" width="17" customWidth="1"/>
    <col min="10" max="10" width="20.33203125" customWidth="1"/>
    <col min="11" max="11" width="18.5546875" customWidth="1"/>
  </cols>
  <sheetData>
    <row r="5" spans="2:11" x14ac:dyDescent="0.3">
      <c r="B5" s="49" t="s">
        <v>64</v>
      </c>
      <c r="C5" s="50"/>
      <c r="D5" s="50"/>
      <c r="E5" s="50" t="s">
        <v>3</v>
      </c>
      <c r="F5" s="50" t="s">
        <v>4</v>
      </c>
      <c r="G5" s="50" t="s">
        <v>2</v>
      </c>
      <c r="H5" s="50" t="s">
        <v>14</v>
      </c>
      <c r="I5" s="50" t="s">
        <v>88</v>
      </c>
      <c r="J5" s="50" t="s">
        <v>89</v>
      </c>
      <c r="K5" s="50" t="s">
        <v>85</v>
      </c>
    </row>
    <row r="6" spans="2:11" x14ac:dyDescent="0.3">
      <c r="B6" s="50"/>
      <c r="C6" s="51"/>
      <c r="D6" s="56"/>
      <c r="E6" s="1"/>
      <c r="F6" s="1"/>
      <c r="G6" s="63"/>
      <c r="H6" s="1"/>
      <c r="I6" s="57"/>
      <c r="J6" s="1"/>
      <c r="K6" s="1"/>
    </row>
    <row r="7" spans="2:11" x14ac:dyDescent="0.3">
      <c r="B7" s="50" t="s">
        <v>52</v>
      </c>
      <c r="C7" s="51"/>
      <c r="D7" s="62"/>
      <c r="E7" s="12">
        <v>15</v>
      </c>
      <c r="F7" s="58">
        <v>3.85</v>
      </c>
      <c r="G7" s="59">
        <v>0</v>
      </c>
      <c r="H7" s="60">
        <f>E7*F7</f>
        <v>57.75</v>
      </c>
      <c r="I7" s="61"/>
      <c r="J7" s="12"/>
      <c r="K7" s="55">
        <f>H7*J53</f>
        <v>8930.4599999999991</v>
      </c>
    </row>
    <row r="8" spans="2:11" x14ac:dyDescent="0.3">
      <c r="B8" s="50" t="s">
        <v>53</v>
      </c>
      <c r="C8" s="53"/>
      <c r="D8" s="62"/>
      <c r="E8" s="12">
        <v>8</v>
      </c>
      <c r="F8" s="58">
        <v>3.85</v>
      </c>
      <c r="G8" s="59">
        <v>0</v>
      </c>
      <c r="H8" s="60">
        <f>E8*F8</f>
        <v>30.8</v>
      </c>
      <c r="I8" s="69"/>
      <c r="J8" s="12"/>
      <c r="K8" s="55">
        <f>H8*J53</f>
        <v>4762.9119999999994</v>
      </c>
    </row>
    <row r="9" spans="2:11" x14ac:dyDescent="0.3">
      <c r="B9" s="50" t="s">
        <v>54</v>
      </c>
      <c r="C9" s="54"/>
      <c r="D9" s="62"/>
      <c r="E9" s="12">
        <v>15</v>
      </c>
      <c r="F9" s="58">
        <v>3.85</v>
      </c>
      <c r="G9" s="59">
        <v>0</v>
      </c>
      <c r="H9" s="60">
        <f>E9*F9</f>
        <v>57.75</v>
      </c>
      <c r="I9" s="69"/>
      <c r="J9" s="12"/>
      <c r="K9" s="55">
        <f>H9*J53</f>
        <v>8930.4599999999991</v>
      </c>
    </row>
    <row r="10" spans="2:11" x14ac:dyDescent="0.3">
      <c r="B10" s="50" t="s">
        <v>55</v>
      </c>
      <c r="C10" s="51"/>
      <c r="D10" s="62"/>
      <c r="E10" s="12">
        <v>8</v>
      </c>
      <c r="F10" s="58">
        <v>3.85</v>
      </c>
      <c r="G10" s="59">
        <v>0</v>
      </c>
      <c r="H10" s="60">
        <f>E10*F10</f>
        <v>30.8</v>
      </c>
      <c r="I10" s="69"/>
      <c r="J10" s="12"/>
      <c r="K10" s="55">
        <f>H9*J53</f>
        <v>8930.4599999999991</v>
      </c>
    </row>
    <row r="11" spans="2:11" x14ac:dyDescent="0.3">
      <c r="B11" s="50" t="s">
        <v>59</v>
      </c>
      <c r="C11" s="51"/>
      <c r="D11" s="55"/>
      <c r="E11" s="12">
        <v>15</v>
      </c>
      <c r="F11" s="58">
        <v>0</v>
      </c>
      <c r="G11" s="59">
        <v>8</v>
      </c>
      <c r="H11" s="12">
        <f>E11*G11</f>
        <v>120</v>
      </c>
      <c r="I11" s="55">
        <f>H11*J62</f>
        <v>25200</v>
      </c>
      <c r="J11" s="12"/>
      <c r="K11" s="12"/>
    </row>
    <row r="12" spans="2:11" x14ac:dyDescent="0.3">
      <c r="B12" s="50" t="s">
        <v>60</v>
      </c>
      <c r="C12" s="51"/>
      <c r="D12" s="55"/>
      <c r="E12" s="12">
        <v>8</v>
      </c>
      <c r="F12" s="58">
        <v>0</v>
      </c>
      <c r="G12" s="59">
        <v>8</v>
      </c>
      <c r="H12" s="12">
        <f>E12*G12</f>
        <v>64</v>
      </c>
      <c r="I12" s="55">
        <f>H12*J70</f>
        <v>10560</v>
      </c>
      <c r="J12" s="12"/>
      <c r="K12" s="12"/>
    </row>
    <row r="13" spans="2:11" x14ac:dyDescent="0.3">
      <c r="B13" s="50" t="s">
        <v>63</v>
      </c>
      <c r="C13" s="51"/>
      <c r="D13" s="55"/>
      <c r="E13" s="12"/>
      <c r="F13" s="12"/>
      <c r="G13" s="12"/>
      <c r="H13" s="12"/>
      <c r="I13" s="52">
        <v>5000</v>
      </c>
      <c r="J13" s="12"/>
      <c r="K13" s="12"/>
    </row>
    <row r="14" spans="2:11" x14ac:dyDescent="0.3">
      <c r="B14" s="50" t="s">
        <v>76</v>
      </c>
      <c r="C14" s="51"/>
      <c r="D14" s="12"/>
      <c r="E14" s="52"/>
      <c r="F14" s="12"/>
      <c r="G14" s="12"/>
      <c r="H14" s="66">
        <f>H81+H82</f>
        <v>21.192</v>
      </c>
      <c r="I14" s="52"/>
      <c r="J14" s="55">
        <f>H14+(2*2.5)*J53</f>
        <v>794.39199999999994</v>
      </c>
      <c r="K14" s="12"/>
    </row>
    <row r="15" spans="2:11" x14ac:dyDescent="0.3">
      <c r="B15" s="50" t="s">
        <v>234</v>
      </c>
      <c r="C15" s="51"/>
      <c r="D15" s="55"/>
      <c r="E15" s="12"/>
      <c r="F15" s="52"/>
      <c r="G15" s="52"/>
      <c r="H15" s="12"/>
      <c r="I15" s="52">
        <v>620</v>
      </c>
      <c r="J15" s="12"/>
      <c r="K15" s="12"/>
    </row>
    <row r="16" spans="2:11" x14ac:dyDescent="0.3">
      <c r="B16" s="50"/>
      <c r="C16" s="51"/>
      <c r="D16" s="12"/>
      <c r="E16" s="12"/>
      <c r="F16" s="12"/>
      <c r="G16" s="12"/>
      <c r="H16" s="12"/>
      <c r="I16" s="52"/>
      <c r="J16" s="12"/>
      <c r="K16" s="55">
        <f>SUM(I7:I15)+SUM(K7:K15)-SUM(J7:J15)</f>
        <v>72139.899999999994</v>
      </c>
    </row>
    <row r="18" spans="2:9" x14ac:dyDescent="0.3">
      <c r="B18" s="49" t="s">
        <v>120</v>
      </c>
      <c r="C18" s="50"/>
      <c r="D18" s="50" t="s">
        <v>14</v>
      </c>
      <c r="E18" s="50" t="s">
        <v>126</v>
      </c>
      <c r="F18" s="50" t="s">
        <v>110</v>
      </c>
      <c r="G18" s="50" t="s">
        <v>109</v>
      </c>
      <c r="H18" s="50" t="s">
        <v>209</v>
      </c>
      <c r="I18" s="50" t="s">
        <v>127</v>
      </c>
    </row>
    <row r="19" spans="2:9" x14ac:dyDescent="0.3">
      <c r="B19" s="50"/>
      <c r="C19" s="51"/>
      <c r="D19" s="56"/>
      <c r="E19" s="1"/>
      <c r="F19" s="1"/>
      <c r="G19" s="80">
        <v>40</v>
      </c>
      <c r="H19" s="1"/>
      <c r="I19" s="1"/>
    </row>
    <row r="20" spans="2:9" x14ac:dyDescent="0.3">
      <c r="B20" s="50" t="s">
        <v>121</v>
      </c>
      <c r="C20" s="51"/>
      <c r="D20" s="75">
        <f>SUM(H6:H9)</f>
        <v>146.30000000000001</v>
      </c>
      <c r="E20" s="81">
        <f>0.3</f>
        <v>0.3</v>
      </c>
      <c r="F20" s="79">
        <f t="shared" ref="F20:F27" si="0">E20*D20</f>
        <v>43.89</v>
      </c>
      <c r="G20" s="52">
        <f>F20*G$19</f>
        <v>1755.6</v>
      </c>
      <c r="H20" s="12"/>
      <c r="I20" s="12"/>
    </row>
    <row r="21" spans="2:9" x14ac:dyDescent="0.3">
      <c r="B21" s="50" t="s">
        <v>59</v>
      </c>
      <c r="C21" s="53"/>
      <c r="D21" s="75">
        <f>H10</f>
        <v>30.8</v>
      </c>
      <c r="E21" s="81">
        <f>0.5</f>
        <v>0.5</v>
      </c>
      <c r="F21" s="79">
        <f t="shared" si="0"/>
        <v>15.4</v>
      </c>
      <c r="G21" s="52">
        <f t="shared" ref="G21:G27" si="1">F21*G$19</f>
        <v>616</v>
      </c>
      <c r="H21" s="12"/>
      <c r="I21" s="12"/>
    </row>
    <row r="22" spans="2:9" x14ac:dyDescent="0.3">
      <c r="B22" s="50" t="s">
        <v>60</v>
      </c>
      <c r="C22" s="54"/>
      <c r="D22" s="75">
        <f>H11</f>
        <v>120</v>
      </c>
      <c r="E22" s="81">
        <f>0.4</f>
        <v>0.4</v>
      </c>
      <c r="F22" s="79">
        <f t="shared" si="0"/>
        <v>48</v>
      </c>
      <c r="G22" s="52">
        <f t="shared" si="1"/>
        <v>1920</v>
      </c>
      <c r="H22" s="12"/>
      <c r="I22" s="12"/>
    </row>
    <row r="23" spans="2:9" x14ac:dyDescent="0.3">
      <c r="B23" s="50" t="s">
        <v>63</v>
      </c>
      <c r="C23" s="51"/>
      <c r="D23" s="83">
        <v>1</v>
      </c>
      <c r="E23" s="82">
        <v>15</v>
      </c>
      <c r="F23" s="79">
        <f t="shared" si="0"/>
        <v>15</v>
      </c>
      <c r="G23" s="52">
        <f t="shared" si="1"/>
        <v>600</v>
      </c>
      <c r="H23" s="12"/>
      <c r="I23" s="12"/>
    </row>
    <row r="24" spans="2:9" x14ac:dyDescent="0.3">
      <c r="B24" s="50" t="s">
        <v>122</v>
      </c>
      <c r="C24" s="51"/>
      <c r="D24" s="83"/>
      <c r="E24" s="81">
        <v>1.5</v>
      </c>
      <c r="F24" s="79">
        <f t="shared" si="0"/>
        <v>0</v>
      </c>
      <c r="G24" s="52">
        <f t="shared" si="1"/>
        <v>0</v>
      </c>
      <c r="H24" s="12"/>
      <c r="I24" s="12"/>
    </row>
    <row r="25" spans="2:9" x14ac:dyDescent="0.3">
      <c r="B25" s="50" t="s">
        <v>123</v>
      </c>
      <c r="C25" s="51"/>
      <c r="D25" s="83"/>
      <c r="E25" s="81">
        <v>1.5</v>
      </c>
      <c r="F25" s="79">
        <f t="shared" si="0"/>
        <v>0</v>
      </c>
      <c r="G25" s="52">
        <f t="shared" si="1"/>
        <v>0</v>
      </c>
      <c r="H25" s="12"/>
      <c r="I25" s="55"/>
    </row>
    <row r="26" spans="2:9" x14ac:dyDescent="0.3">
      <c r="B26" s="50" t="s">
        <v>124</v>
      </c>
      <c r="C26" s="51"/>
      <c r="D26" s="83"/>
      <c r="E26" s="81">
        <f>0.2</f>
        <v>0.2</v>
      </c>
      <c r="F26" s="79">
        <f t="shared" si="0"/>
        <v>0</v>
      </c>
      <c r="G26" s="52">
        <f t="shared" si="1"/>
        <v>0</v>
      </c>
      <c r="H26" s="12"/>
      <c r="I26" s="55"/>
    </row>
    <row r="27" spans="2:9" x14ac:dyDescent="0.3">
      <c r="B27" s="50" t="s">
        <v>125</v>
      </c>
      <c r="C27" s="51"/>
      <c r="D27" s="83"/>
      <c r="E27" s="81">
        <v>1.5</v>
      </c>
      <c r="F27" s="79">
        <f t="shared" si="0"/>
        <v>0</v>
      </c>
      <c r="G27" s="52">
        <f t="shared" si="1"/>
        <v>0</v>
      </c>
      <c r="H27" s="12"/>
      <c r="I27" s="55"/>
    </row>
    <row r="28" spans="2:9" x14ac:dyDescent="0.3">
      <c r="B28" s="50"/>
      <c r="C28" s="51"/>
      <c r="D28" s="83"/>
      <c r="E28" s="81"/>
      <c r="F28" s="79"/>
      <c r="G28" s="52"/>
      <c r="H28" s="12"/>
      <c r="I28" s="55">
        <f>SUM(G20:G27)</f>
        <v>4891.6000000000004</v>
      </c>
    </row>
    <row r="30" spans="2:9" x14ac:dyDescent="0.3">
      <c r="I30" s="50" t="s">
        <v>127</v>
      </c>
    </row>
    <row r="31" spans="2:9" x14ac:dyDescent="0.3">
      <c r="I31" s="57">
        <f>K16+I28</f>
        <v>77031.5</v>
      </c>
    </row>
    <row r="34" spans="2:10" ht="15" thickBot="1" x14ac:dyDescent="0.35"/>
    <row r="35" spans="2:10" ht="26.4" thickBot="1" x14ac:dyDescent="0.55000000000000004">
      <c r="B35" s="84" t="s">
        <v>128</v>
      </c>
      <c r="C35" s="85"/>
      <c r="D35" s="85"/>
      <c r="E35" s="85"/>
      <c r="F35" s="85"/>
      <c r="G35" s="85"/>
      <c r="H35" s="85"/>
      <c r="I35" s="85"/>
      <c r="J35" s="86"/>
    </row>
    <row r="45" spans="2:10" x14ac:dyDescent="0.3">
      <c r="B45" s="49" t="s">
        <v>90</v>
      </c>
      <c r="C45" s="50"/>
      <c r="D45" s="50" t="s">
        <v>84</v>
      </c>
      <c r="E45" s="50"/>
      <c r="F45" s="50"/>
      <c r="G45" s="50"/>
      <c r="H45" s="50"/>
      <c r="I45" s="50"/>
      <c r="J45" s="50" t="s">
        <v>86</v>
      </c>
    </row>
    <row r="46" spans="2:10" x14ac:dyDescent="0.3">
      <c r="B46" s="50"/>
      <c r="C46" s="51"/>
      <c r="D46" s="56"/>
      <c r="E46" s="1"/>
      <c r="F46" s="1"/>
      <c r="G46" s="63"/>
      <c r="H46" s="1"/>
      <c r="I46" s="57"/>
      <c r="J46" s="1"/>
    </row>
    <row r="47" spans="2:10" x14ac:dyDescent="0.3">
      <c r="B47" s="50" t="s">
        <v>235</v>
      </c>
      <c r="C47" s="51"/>
      <c r="D47" s="62">
        <v>25</v>
      </c>
      <c r="E47" s="12"/>
      <c r="F47" s="58"/>
      <c r="G47" s="59"/>
      <c r="H47" s="60"/>
      <c r="I47" s="61"/>
      <c r="J47" s="12"/>
    </row>
    <row r="48" spans="2:10" x14ac:dyDescent="0.3">
      <c r="B48" s="50" t="s">
        <v>80</v>
      </c>
      <c r="C48" s="53"/>
      <c r="D48" s="62">
        <v>5</v>
      </c>
      <c r="E48" s="12"/>
      <c r="F48" s="58"/>
      <c r="G48" s="59"/>
      <c r="H48" s="60"/>
      <c r="I48" s="61"/>
      <c r="J48" s="12"/>
    </row>
    <row r="49" spans="2:11" x14ac:dyDescent="0.3">
      <c r="B49" s="50" t="s">
        <v>81</v>
      </c>
      <c r="C49" s="54"/>
      <c r="D49" s="62">
        <v>5</v>
      </c>
      <c r="E49" s="12"/>
      <c r="F49" s="58"/>
      <c r="G49" s="59"/>
      <c r="H49" s="60"/>
      <c r="I49" s="61"/>
      <c r="J49" s="12"/>
    </row>
    <row r="50" spans="2:11" x14ac:dyDescent="0.3">
      <c r="B50" s="141" t="s">
        <v>94</v>
      </c>
      <c r="C50" s="51"/>
      <c r="D50" s="62">
        <v>60</v>
      </c>
      <c r="E50" s="12"/>
      <c r="F50" s="58"/>
      <c r="G50" s="59"/>
      <c r="H50" s="60"/>
      <c r="I50" s="61"/>
      <c r="J50" s="12"/>
    </row>
    <row r="51" spans="2:11" x14ac:dyDescent="0.3">
      <c r="B51" s="50" t="s">
        <v>82</v>
      </c>
      <c r="C51" s="51"/>
      <c r="D51" s="55">
        <v>14.64</v>
      </c>
      <c r="E51" s="12"/>
      <c r="F51" s="58"/>
      <c r="G51" s="59"/>
      <c r="H51" s="12"/>
      <c r="I51" s="12"/>
      <c r="J51" s="12"/>
    </row>
    <row r="52" spans="2:11" x14ac:dyDescent="0.3">
      <c r="B52" s="50" t="s">
        <v>83</v>
      </c>
      <c r="C52" s="51"/>
      <c r="D52" s="55">
        <v>5</v>
      </c>
      <c r="E52" s="12"/>
      <c r="F52" s="58"/>
      <c r="G52" s="59"/>
      <c r="H52" s="12"/>
      <c r="I52" s="12"/>
      <c r="J52" s="12"/>
    </row>
    <row r="53" spans="2:11" x14ac:dyDescent="0.3">
      <c r="B53" s="50" t="s">
        <v>207</v>
      </c>
      <c r="C53" s="51"/>
      <c r="D53" s="62">
        <v>40</v>
      </c>
      <c r="E53" s="12"/>
      <c r="F53" s="12"/>
      <c r="G53" s="12"/>
      <c r="H53" s="12"/>
      <c r="I53" s="12"/>
      <c r="J53" s="55">
        <f>SUM(D47:D53)</f>
        <v>154.63999999999999</v>
      </c>
    </row>
    <row r="54" spans="2:11" x14ac:dyDescent="0.3">
      <c r="B54" s="45"/>
      <c r="C54" s="45"/>
      <c r="D54" s="67"/>
      <c r="E54" s="45"/>
      <c r="F54" s="68"/>
      <c r="G54" s="68"/>
      <c r="H54" s="45"/>
      <c r="I54" s="45"/>
      <c r="J54" s="45"/>
    </row>
    <row r="55" spans="2:11" x14ac:dyDescent="0.3">
      <c r="B55" s="49" t="s">
        <v>91</v>
      </c>
      <c r="C55" s="50"/>
      <c r="D55" s="50" t="s">
        <v>84</v>
      </c>
      <c r="E55" s="50"/>
      <c r="F55" s="50"/>
      <c r="G55" s="50"/>
      <c r="H55" s="50"/>
      <c r="I55" s="50"/>
      <c r="J55" s="50" t="s">
        <v>86</v>
      </c>
      <c r="K55" s="45"/>
    </row>
    <row r="56" spans="2:11" x14ac:dyDescent="0.3">
      <c r="B56" s="50"/>
      <c r="C56" s="51"/>
      <c r="D56" s="56"/>
      <c r="E56" s="1"/>
      <c r="F56" s="1"/>
      <c r="G56" s="63"/>
      <c r="H56" s="1"/>
      <c r="I56" s="57"/>
      <c r="J56" s="1"/>
      <c r="K56" s="45"/>
    </row>
    <row r="57" spans="2:11" x14ac:dyDescent="0.3">
      <c r="B57" s="50" t="s">
        <v>92</v>
      </c>
      <c r="C57" s="51"/>
      <c r="D57" s="62">
        <v>60</v>
      </c>
      <c r="E57" s="12"/>
      <c r="F57" s="58"/>
      <c r="G57" s="59"/>
      <c r="H57" s="60"/>
      <c r="I57" s="61"/>
      <c r="J57" s="12"/>
      <c r="K57" s="45"/>
    </row>
    <row r="58" spans="2:11" x14ac:dyDescent="0.3">
      <c r="B58" s="50" t="s">
        <v>99</v>
      </c>
      <c r="C58" s="53"/>
      <c r="D58" s="62">
        <v>40</v>
      </c>
      <c r="E58" s="12"/>
      <c r="F58" s="58"/>
      <c r="G58" s="59"/>
      <c r="H58" s="60"/>
      <c r="I58" s="61"/>
      <c r="J58" s="12"/>
      <c r="K58" s="45"/>
    </row>
    <row r="59" spans="2:11" x14ac:dyDescent="0.3">
      <c r="B59" s="50" t="s">
        <v>81</v>
      </c>
      <c r="C59" s="54"/>
      <c r="D59" s="62">
        <v>5</v>
      </c>
      <c r="E59" s="12"/>
      <c r="F59" s="58"/>
      <c r="G59" s="59"/>
      <c r="H59" s="60"/>
      <c r="I59" s="61"/>
      <c r="J59" s="12"/>
      <c r="K59" s="45"/>
    </row>
    <row r="60" spans="2:11" x14ac:dyDescent="0.3">
      <c r="B60" s="50" t="s">
        <v>94</v>
      </c>
      <c r="C60" s="51"/>
      <c r="D60" s="62">
        <v>60</v>
      </c>
      <c r="E60" s="12"/>
      <c r="F60" s="58"/>
      <c r="G60" s="59"/>
      <c r="H60" s="60"/>
      <c r="I60" s="61"/>
      <c r="J60" s="12"/>
    </row>
    <row r="61" spans="2:11" x14ac:dyDescent="0.3">
      <c r="B61" s="50" t="s">
        <v>83</v>
      </c>
      <c r="C61" s="51"/>
      <c r="D61" s="52">
        <v>5</v>
      </c>
      <c r="E61" s="12"/>
      <c r="F61" s="58"/>
      <c r="G61" s="59"/>
      <c r="H61" s="12"/>
      <c r="I61" s="12"/>
      <c r="J61" s="12"/>
    </row>
    <row r="62" spans="2:11" x14ac:dyDescent="0.3">
      <c r="B62" s="50" t="s">
        <v>207</v>
      </c>
      <c r="C62" s="51"/>
      <c r="D62" s="52">
        <v>40</v>
      </c>
      <c r="E62" s="12"/>
      <c r="F62" s="12"/>
      <c r="G62" s="12"/>
      <c r="H62" s="12"/>
      <c r="I62" s="12"/>
      <c r="J62" s="55">
        <f>SUM(D57:D62)</f>
        <v>210</v>
      </c>
    </row>
    <row r="64" spans="2:11" x14ac:dyDescent="0.3">
      <c r="B64" s="49" t="s">
        <v>96</v>
      </c>
      <c r="C64" s="50"/>
      <c r="D64" s="50" t="s">
        <v>84</v>
      </c>
      <c r="E64" s="50"/>
      <c r="F64" s="50"/>
      <c r="G64" s="50"/>
      <c r="H64" s="50"/>
      <c r="I64" s="50"/>
      <c r="J64" s="50" t="s">
        <v>86</v>
      </c>
    </row>
    <row r="65" spans="2:10" x14ac:dyDescent="0.3">
      <c r="B65" s="50"/>
      <c r="C65" s="51"/>
      <c r="D65" s="56"/>
      <c r="E65" s="1"/>
      <c r="F65" s="1"/>
      <c r="G65" s="63"/>
      <c r="H65" s="1"/>
      <c r="I65" s="57"/>
      <c r="J65" s="1"/>
    </row>
    <row r="66" spans="2:10" x14ac:dyDescent="0.3">
      <c r="B66" s="50" t="s">
        <v>99</v>
      </c>
      <c r="C66" s="51"/>
      <c r="D66" s="62">
        <v>40</v>
      </c>
      <c r="E66" s="12"/>
      <c r="F66" s="58"/>
      <c r="G66" s="59"/>
      <c r="H66" s="60"/>
      <c r="I66" s="61"/>
      <c r="J66" s="12"/>
    </row>
    <row r="67" spans="2:10" x14ac:dyDescent="0.3">
      <c r="B67" s="50" t="s">
        <v>97</v>
      </c>
      <c r="C67" s="53"/>
      <c r="D67" s="62">
        <v>15</v>
      </c>
      <c r="E67" s="12"/>
      <c r="F67" s="58"/>
      <c r="G67" s="59"/>
      <c r="H67" s="60"/>
      <c r="I67" s="61"/>
      <c r="J67" s="12"/>
    </row>
    <row r="68" spans="2:10" x14ac:dyDescent="0.3">
      <c r="B68" s="50" t="s">
        <v>94</v>
      </c>
      <c r="C68" s="54"/>
      <c r="D68" s="62">
        <v>60</v>
      </c>
      <c r="E68" s="12"/>
      <c r="F68" s="58"/>
      <c r="G68" s="59"/>
      <c r="H68" s="60"/>
      <c r="I68" s="61"/>
      <c r="J68" s="12"/>
    </row>
    <row r="69" spans="2:10" x14ac:dyDescent="0.3">
      <c r="B69" s="50" t="s">
        <v>99</v>
      </c>
      <c r="C69" s="51"/>
      <c r="D69" s="62">
        <v>40</v>
      </c>
      <c r="E69" s="12"/>
      <c r="F69" s="58"/>
      <c r="G69" s="59"/>
      <c r="H69" s="60"/>
      <c r="I69" s="61"/>
      <c r="J69" s="12"/>
    </row>
    <row r="70" spans="2:10" x14ac:dyDescent="0.3">
      <c r="B70" s="50" t="s">
        <v>98</v>
      </c>
      <c r="C70" s="51"/>
      <c r="D70" s="62">
        <v>10</v>
      </c>
      <c r="E70" s="12"/>
      <c r="F70" s="58"/>
      <c r="G70" s="59"/>
      <c r="H70" s="12"/>
      <c r="I70" s="12"/>
      <c r="J70" s="55">
        <f>SUM(D66:D70)</f>
        <v>165</v>
      </c>
    </row>
    <row r="79" spans="2:10" x14ac:dyDescent="0.3">
      <c r="B79" s="2" t="s">
        <v>237</v>
      </c>
      <c r="C79" s="3"/>
      <c r="D79" s="4"/>
      <c r="E79" s="4"/>
      <c r="F79" s="4"/>
      <c r="G79" s="5"/>
    </row>
    <row r="80" spans="2:10" x14ac:dyDescent="0.3">
      <c r="B80" s="6" t="s">
        <v>15</v>
      </c>
      <c r="C80" s="7" t="s">
        <v>16</v>
      </c>
      <c r="D80" s="7" t="s">
        <v>17</v>
      </c>
      <c r="E80" s="7" t="s">
        <v>18</v>
      </c>
      <c r="F80" s="7" t="s">
        <v>19</v>
      </c>
      <c r="G80" s="48"/>
      <c r="H80" s="9" t="s">
        <v>20</v>
      </c>
    </row>
    <row r="81" spans="2:8" x14ac:dyDescent="0.3">
      <c r="B81" s="10" t="s">
        <v>77</v>
      </c>
      <c r="C81" s="10">
        <v>8</v>
      </c>
      <c r="D81" s="10">
        <v>7880</v>
      </c>
      <c r="E81" s="10">
        <v>300</v>
      </c>
      <c r="F81" s="10"/>
      <c r="G81" s="10"/>
      <c r="H81" s="46">
        <f>(D81*E81*C81)/1000000</f>
        <v>18.911999999999999</v>
      </c>
    </row>
    <row r="82" spans="2:8" x14ac:dyDescent="0.3">
      <c r="B82" s="10" t="s">
        <v>77</v>
      </c>
      <c r="C82" s="10">
        <v>8</v>
      </c>
      <c r="D82" s="10">
        <v>950</v>
      </c>
      <c r="E82" s="10">
        <v>300</v>
      </c>
      <c r="F82" s="10"/>
      <c r="G82" s="10"/>
      <c r="H82" s="46">
        <f>(D82*E82*C82)/1000000</f>
        <v>2.2799999999999998</v>
      </c>
    </row>
    <row r="83" spans="2:8" x14ac:dyDescent="0.3">
      <c r="B83" s="10" t="s">
        <v>21</v>
      </c>
      <c r="C83" s="10">
        <v>0</v>
      </c>
      <c r="D83" s="10">
        <v>0</v>
      </c>
      <c r="E83" s="10">
        <v>0</v>
      </c>
      <c r="F83" s="10"/>
      <c r="G83" s="10"/>
      <c r="H83" s="46">
        <f>(D83*F83*C83)/1000000</f>
        <v>0</v>
      </c>
    </row>
    <row r="84" spans="2:8" x14ac:dyDescent="0.3">
      <c r="B84" s="10" t="s">
        <v>22</v>
      </c>
      <c r="C84" s="47">
        <v>16</v>
      </c>
      <c r="D84" s="10">
        <v>1500</v>
      </c>
      <c r="E84" s="10">
        <v>114</v>
      </c>
      <c r="F84" s="10">
        <v>67</v>
      </c>
      <c r="G84" s="10"/>
      <c r="H84" s="46">
        <f>(D84*F84*C84)/1000000</f>
        <v>1.6080000000000001</v>
      </c>
    </row>
    <row r="85" spans="2:8" x14ac:dyDescent="0.3">
      <c r="B85" s="10" t="s">
        <v>23</v>
      </c>
      <c r="C85" s="47">
        <v>16</v>
      </c>
      <c r="D85" s="10">
        <v>1800</v>
      </c>
      <c r="E85" s="10">
        <v>114</v>
      </c>
      <c r="F85" s="10">
        <v>67</v>
      </c>
      <c r="G85" s="10"/>
      <c r="H85" s="46">
        <f>(D85*F85*C85)/1000000</f>
        <v>1.9296</v>
      </c>
    </row>
    <row r="86" spans="2:8" x14ac:dyDescent="0.3">
      <c r="B86" s="10" t="s">
        <v>24</v>
      </c>
      <c r="C86" s="10"/>
      <c r="D86" s="10"/>
      <c r="E86" s="10"/>
      <c r="F86" s="10"/>
      <c r="G86" s="10"/>
      <c r="H86" s="46">
        <f>(H81+H82)-SUM(H83:H85)</f>
        <v>17.654399999999999</v>
      </c>
    </row>
    <row r="87" spans="2:8" x14ac:dyDescent="0.3">
      <c r="B87" s="11"/>
      <c r="C87" s="11"/>
      <c r="D87" s="11"/>
      <c r="E87" s="11"/>
      <c r="F87" s="11"/>
      <c r="G87" s="11"/>
      <c r="H87" s="11"/>
    </row>
    <row r="88" spans="2:8" x14ac:dyDescent="0.3">
      <c r="B88" s="10" t="s">
        <v>78</v>
      </c>
      <c r="C88" s="12">
        <v>1</v>
      </c>
      <c r="D88" s="12"/>
      <c r="E88" s="12"/>
      <c r="F88" s="12"/>
      <c r="G88" s="12"/>
      <c r="H88" s="12"/>
    </row>
    <row r="89" spans="2:8" x14ac:dyDescent="0.3">
      <c r="B89" s="13"/>
      <c r="C89" s="13"/>
      <c r="D89" s="13"/>
      <c r="E89" s="13"/>
      <c r="F89" s="13"/>
      <c r="G89" s="13"/>
      <c r="H89" s="13"/>
    </row>
    <row r="90" spans="2:8" x14ac:dyDescent="0.3">
      <c r="B90" s="14" t="s">
        <v>26</v>
      </c>
      <c r="C90" s="14" t="s">
        <v>27</v>
      </c>
      <c r="D90" s="14" t="s">
        <v>28</v>
      </c>
      <c r="E90" s="14" t="s">
        <v>29</v>
      </c>
      <c r="F90" s="14" t="s">
        <v>30</v>
      </c>
      <c r="G90" s="15" t="s">
        <v>31</v>
      </c>
      <c r="H90" s="14" t="s">
        <v>32</v>
      </c>
    </row>
    <row r="91" spans="2:8" x14ac:dyDescent="0.3">
      <c r="B91" s="16" t="s">
        <v>33</v>
      </c>
      <c r="C91" s="17"/>
      <c r="D91" s="17"/>
      <c r="E91" s="17"/>
      <c r="F91" s="18">
        <v>16</v>
      </c>
      <c r="G91" s="19">
        <v>200</v>
      </c>
      <c r="H91" s="20">
        <f>F91*G91*C88</f>
        <v>3200</v>
      </c>
    </row>
    <row r="92" spans="2:8" x14ac:dyDescent="0.3">
      <c r="B92" s="10" t="s">
        <v>49</v>
      </c>
      <c r="C92" s="21">
        <v>50</v>
      </c>
      <c r="D92" s="21">
        <f>75/20</f>
        <v>3.75</v>
      </c>
      <c r="E92" s="22">
        <f>C92*H86*C88</f>
        <v>882.71999999999991</v>
      </c>
      <c r="F92" s="8"/>
      <c r="G92" s="8"/>
      <c r="H92" s="23">
        <f>E92+H91</f>
        <v>4082.72</v>
      </c>
    </row>
    <row r="93" spans="2:8" x14ac:dyDescent="0.3">
      <c r="B93" s="10" t="s">
        <v>34</v>
      </c>
      <c r="C93" s="21">
        <v>115</v>
      </c>
      <c r="D93" s="21">
        <f>140/20</f>
        <v>7</v>
      </c>
      <c r="E93" s="22">
        <f>C93*H86*C88</f>
        <v>2030.2559999999999</v>
      </c>
      <c r="F93" s="8"/>
      <c r="G93" s="8"/>
      <c r="H93" s="23">
        <f>E93+H91</f>
        <v>5230.2559999999994</v>
      </c>
    </row>
    <row r="94" spans="2:8" x14ac:dyDescent="0.3">
      <c r="B94" s="10" t="s">
        <v>35</v>
      </c>
      <c r="C94" s="21">
        <v>120</v>
      </c>
      <c r="D94" s="21">
        <f>180/20</f>
        <v>9</v>
      </c>
      <c r="E94" s="22">
        <f>C94*H86*C88</f>
        <v>2118.5279999999998</v>
      </c>
      <c r="F94" s="8"/>
      <c r="G94" s="8"/>
      <c r="H94" s="23">
        <f>E94+H91</f>
        <v>5318.5280000000002</v>
      </c>
    </row>
    <row r="95" spans="2:8" x14ac:dyDescent="0.3">
      <c r="B95" s="10" t="s">
        <v>36</v>
      </c>
      <c r="C95" s="21">
        <v>125</v>
      </c>
      <c r="D95" s="21">
        <f>220/20</f>
        <v>11</v>
      </c>
      <c r="E95" s="22">
        <f>C95*H86*C88</f>
        <v>2206.7999999999997</v>
      </c>
      <c r="F95" s="8"/>
      <c r="G95" s="8"/>
      <c r="H95" s="23">
        <f>E95+H91</f>
        <v>5406.7999999999993</v>
      </c>
    </row>
    <row r="96" spans="2:8" x14ac:dyDescent="0.3">
      <c r="B96" s="10" t="s">
        <v>37</v>
      </c>
      <c r="C96" s="21">
        <v>130</v>
      </c>
      <c r="D96" s="21">
        <f>260/20</f>
        <v>13</v>
      </c>
      <c r="E96" s="22">
        <f>C96*H86*C88</f>
        <v>2295.0719999999997</v>
      </c>
      <c r="F96" s="8"/>
      <c r="G96" s="8"/>
      <c r="H96" s="23">
        <f>E96+H91</f>
        <v>5495.0720000000001</v>
      </c>
    </row>
    <row r="97" spans="2:8" x14ac:dyDescent="0.3">
      <c r="B97" s="10" t="s">
        <v>38</v>
      </c>
      <c r="C97" s="21">
        <v>170</v>
      </c>
      <c r="D97" s="21">
        <f>280/20</f>
        <v>14</v>
      </c>
      <c r="E97" s="22">
        <f>C97*H86*C88</f>
        <v>3001.248</v>
      </c>
      <c r="F97" s="8"/>
      <c r="G97" s="8"/>
      <c r="H97" s="23">
        <f>E97+H91</f>
        <v>6201.2479999999996</v>
      </c>
    </row>
    <row r="98" spans="2:8" x14ac:dyDescent="0.3">
      <c r="B98" s="14" t="s">
        <v>39</v>
      </c>
      <c r="C98" s="8"/>
      <c r="D98" s="24"/>
      <c r="E98" s="14" t="s">
        <v>40</v>
      </c>
      <c r="F98" s="24"/>
      <c r="G98" s="24"/>
      <c r="H98" s="25">
        <f>H97-H93</f>
        <v>970.99200000000019</v>
      </c>
    </row>
    <row r="99" spans="2:8" x14ac:dyDescent="0.3">
      <c r="B99" s="13"/>
      <c r="C99" s="13"/>
      <c r="D99" s="13"/>
      <c r="E99" s="13"/>
      <c r="F99" s="13"/>
      <c r="G99" s="13"/>
      <c r="H99" s="13"/>
    </row>
    <row r="100" spans="2:8" x14ac:dyDescent="0.3">
      <c r="B100" s="14" t="s">
        <v>26</v>
      </c>
      <c r="C100" s="14"/>
      <c r="D100" s="25" t="s">
        <v>41</v>
      </c>
      <c r="E100" s="14" t="s">
        <v>40</v>
      </c>
      <c r="F100" s="24"/>
      <c r="G100" s="24"/>
      <c r="H100" s="24" t="s">
        <v>42</v>
      </c>
    </row>
    <row r="101" spans="2:8" x14ac:dyDescent="0.3">
      <c r="B101" s="10" t="s">
        <v>49</v>
      </c>
      <c r="C101" s="26"/>
      <c r="D101" s="27">
        <f t="shared" ref="D101:D106" si="2">H92</f>
        <v>4082.72</v>
      </c>
      <c r="E101" s="28">
        <f>H86*D92*C88</f>
        <v>66.203999999999994</v>
      </c>
      <c r="F101" s="24"/>
      <c r="G101" s="24"/>
      <c r="H101" s="29">
        <f>D101/E101</f>
        <v>61.668781342517072</v>
      </c>
    </row>
    <row r="102" spans="2:8" x14ac:dyDescent="0.3">
      <c r="B102" s="10" t="s">
        <v>34</v>
      </c>
      <c r="C102" s="26"/>
      <c r="D102" s="27">
        <f t="shared" si="2"/>
        <v>5230.2559999999994</v>
      </c>
      <c r="E102" s="28">
        <f>H86*D93*C88</f>
        <v>123.5808</v>
      </c>
      <c r="F102" s="24"/>
      <c r="G102" s="24"/>
      <c r="H102" s="29">
        <f>D102/E102</f>
        <v>42.322561433491281</v>
      </c>
    </row>
    <row r="103" spans="2:8" x14ac:dyDescent="0.3">
      <c r="B103" s="10" t="s">
        <v>35</v>
      </c>
      <c r="C103" s="26"/>
      <c r="D103" s="27">
        <f t="shared" si="2"/>
        <v>5318.5280000000002</v>
      </c>
      <c r="E103" s="28">
        <f>H86*D94*C88</f>
        <v>158.8896</v>
      </c>
      <c r="F103" s="24"/>
      <c r="G103" s="24"/>
      <c r="H103" s="29">
        <f t="shared" ref="H103:H106" si="3">D103/E103</f>
        <v>33.473103337159891</v>
      </c>
    </row>
    <row r="104" spans="2:8" x14ac:dyDescent="0.3">
      <c r="B104" s="10" t="s">
        <v>36</v>
      </c>
      <c r="C104" s="26"/>
      <c r="D104" s="27">
        <f t="shared" si="2"/>
        <v>5406.7999999999993</v>
      </c>
      <c r="E104" s="28">
        <f>H86*D95*C88</f>
        <v>194.19839999999999</v>
      </c>
      <c r="F104" s="24"/>
      <c r="G104" s="24"/>
      <c r="H104" s="29">
        <f t="shared" si="3"/>
        <v>27.841630003130817</v>
      </c>
    </row>
    <row r="105" spans="2:8" x14ac:dyDescent="0.3">
      <c r="B105" s="10" t="s">
        <v>37</v>
      </c>
      <c r="C105" s="26"/>
      <c r="D105" s="27">
        <f t="shared" si="2"/>
        <v>5495.0720000000001</v>
      </c>
      <c r="E105" s="28">
        <f>H86*D96*C88</f>
        <v>229.50719999999998</v>
      </c>
      <c r="F105" s="24"/>
      <c r="G105" s="24"/>
      <c r="H105" s="29">
        <f t="shared" si="3"/>
        <v>23.942917694956847</v>
      </c>
    </row>
    <row r="106" spans="2:8" ht="15" thickBot="1" x14ac:dyDescent="0.35">
      <c r="B106" s="10" t="s">
        <v>48</v>
      </c>
      <c r="C106" s="26"/>
      <c r="D106" s="27">
        <f t="shared" si="2"/>
        <v>6201.2479999999996</v>
      </c>
      <c r="E106" s="30">
        <f>H86*D97*C88</f>
        <v>247.16159999999999</v>
      </c>
      <c r="F106" s="31"/>
      <c r="G106" s="31"/>
      <c r="H106" s="29">
        <f t="shared" si="3"/>
        <v>25.089852145317071</v>
      </c>
    </row>
    <row r="107" spans="2:8" ht="15" thickBot="1" x14ac:dyDescent="0.35">
      <c r="B107" s="24"/>
      <c r="C107" s="24"/>
      <c r="D107" s="32"/>
      <c r="E107" s="33" t="s">
        <v>50</v>
      </c>
      <c r="F107" s="34"/>
      <c r="G107" s="35"/>
      <c r="H107" s="36">
        <f>H101-H104</f>
        <v>33.827151339386255</v>
      </c>
    </row>
    <row r="108" spans="2:8" ht="15" thickBot="1" x14ac:dyDescent="0.35">
      <c r="B108" s="24"/>
      <c r="C108" s="24"/>
      <c r="D108" s="32"/>
      <c r="E108" s="33" t="s">
        <v>51</v>
      </c>
      <c r="F108" s="34"/>
      <c r="G108" s="35"/>
      <c r="H108" s="36">
        <f>H101-H105</f>
        <v>37.725863647560224</v>
      </c>
    </row>
    <row r="109" spans="2:8" x14ac:dyDescent="0.3">
      <c r="B109" s="13"/>
      <c r="C109" s="37"/>
      <c r="D109" s="37"/>
      <c r="E109" s="38"/>
      <c r="F109" s="38"/>
      <c r="G109" s="38"/>
      <c r="H109" s="1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517B-92CB-46D7-9F1D-0351516E13EF}">
  <dimension ref="B2:O106"/>
  <sheetViews>
    <sheetView topLeftCell="A26" zoomScale="70" zoomScaleNormal="70" workbookViewId="0">
      <selection activeCell="K23" sqref="K23"/>
    </sheetView>
  </sheetViews>
  <sheetFormatPr defaultRowHeight="14.4" x14ac:dyDescent="0.3"/>
  <cols>
    <col min="2" max="2" width="41.109375" customWidth="1"/>
    <col min="3" max="3" width="10.44140625" customWidth="1"/>
    <col min="4" max="4" width="22.44140625" bestFit="1" customWidth="1"/>
    <col min="5" max="5" width="19.6640625" customWidth="1"/>
    <col min="6" max="6" width="17.88671875" bestFit="1" customWidth="1"/>
    <col min="7" max="7" width="10.88671875" bestFit="1" customWidth="1"/>
    <col min="8" max="8" width="23.5546875" bestFit="1" customWidth="1"/>
    <col min="9" max="9" width="17.88671875" customWidth="1"/>
    <col min="10" max="10" width="20.44140625" bestFit="1" customWidth="1"/>
    <col min="11" max="11" width="14.33203125" customWidth="1"/>
    <col min="14" max="14" width="13" customWidth="1"/>
  </cols>
  <sheetData>
    <row r="2" spans="2:15" x14ac:dyDescent="0.3">
      <c r="N2" t="s">
        <v>238</v>
      </c>
    </row>
    <row r="3" spans="2:15" x14ac:dyDescent="0.3">
      <c r="O3" t="s">
        <v>233</v>
      </c>
    </row>
    <row r="4" spans="2:15" x14ac:dyDescent="0.3">
      <c r="B4" s="49" t="s">
        <v>64</v>
      </c>
      <c r="C4" s="50"/>
      <c r="D4" s="50"/>
      <c r="E4" s="50" t="s">
        <v>3</v>
      </c>
      <c r="F4" s="50" t="s">
        <v>4</v>
      </c>
      <c r="G4" s="50" t="s">
        <v>2</v>
      </c>
      <c r="H4" s="50" t="s">
        <v>14</v>
      </c>
      <c r="I4" s="50" t="s">
        <v>88</v>
      </c>
      <c r="J4" s="50" t="s">
        <v>89</v>
      </c>
      <c r="K4" s="50" t="s">
        <v>85</v>
      </c>
      <c r="N4" t="s">
        <v>2</v>
      </c>
      <c r="O4">
        <v>10000</v>
      </c>
    </row>
    <row r="5" spans="2:15" x14ac:dyDescent="0.3">
      <c r="B5" s="50"/>
      <c r="C5" s="51"/>
      <c r="D5" s="56"/>
      <c r="E5" s="1"/>
      <c r="F5" s="1"/>
      <c r="G5" s="63"/>
      <c r="H5" s="1"/>
      <c r="I5" s="57"/>
      <c r="J5" s="1"/>
      <c r="K5" s="1"/>
      <c r="N5" t="s">
        <v>3</v>
      </c>
      <c r="O5">
        <v>9000</v>
      </c>
    </row>
    <row r="6" spans="2:15" x14ac:dyDescent="0.3">
      <c r="B6" s="50" t="s">
        <v>52</v>
      </c>
      <c r="C6" s="51"/>
      <c r="D6" s="62"/>
      <c r="E6" s="12">
        <v>10</v>
      </c>
      <c r="F6" s="58">
        <v>3.85</v>
      </c>
      <c r="G6" s="59">
        <v>0</v>
      </c>
      <c r="H6" s="60">
        <f>E6*F6</f>
        <v>38.5</v>
      </c>
      <c r="I6" s="61"/>
      <c r="J6" s="12"/>
      <c r="K6" s="55">
        <f>H6*J$49</f>
        <v>5389.2300000000005</v>
      </c>
      <c r="N6" t="s">
        <v>4</v>
      </c>
      <c r="O6">
        <v>3850</v>
      </c>
    </row>
    <row r="7" spans="2:15" x14ac:dyDescent="0.3">
      <c r="B7" s="50" t="s">
        <v>53</v>
      </c>
      <c r="C7" s="53"/>
      <c r="D7" s="62"/>
      <c r="E7" s="12">
        <v>9</v>
      </c>
      <c r="F7" s="58">
        <v>3.85</v>
      </c>
      <c r="G7" s="59">
        <v>0</v>
      </c>
      <c r="H7" s="60">
        <f>E7*F7</f>
        <v>34.65</v>
      </c>
      <c r="I7" s="69"/>
      <c r="J7" s="12"/>
      <c r="K7" s="55">
        <f t="shared" ref="K7:K9" si="0">H7*J$49</f>
        <v>4850.3070000000007</v>
      </c>
    </row>
    <row r="8" spans="2:15" x14ac:dyDescent="0.3">
      <c r="B8" s="50" t="s">
        <v>54</v>
      </c>
      <c r="C8" s="54"/>
      <c r="D8" s="62"/>
      <c r="E8" s="12">
        <v>10</v>
      </c>
      <c r="F8" s="58">
        <v>3.85</v>
      </c>
      <c r="G8" s="59">
        <v>0</v>
      </c>
      <c r="H8" s="60">
        <f>E8*F8</f>
        <v>38.5</v>
      </c>
      <c r="I8" s="69"/>
      <c r="J8" s="12"/>
      <c r="K8" s="55">
        <f t="shared" si="0"/>
        <v>5389.2300000000005</v>
      </c>
    </row>
    <row r="9" spans="2:15" x14ac:dyDescent="0.3">
      <c r="B9" s="50" t="s">
        <v>55</v>
      </c>
      <c r="C9" s="51"/>
      <c r="D9" s="62"/>
      <c r="E9" s="12">
        <v>9</v>
      </c>
      <c r="F9" s="58">
        <v>3.85</v>
      </c>
      <c r="G9" s="59">
        <v>0</v>
      </c>
      <c r="H9" s="60">
        <f>E9*F9</f>
        <v>34.65</v>
      </c>
      <c r="I9" s="69"/>
      <c r="J9" s="12"/>
      <c r="K9" s="55">
        <f t="shared" si="0"/>
        <v>4850.3070000000007</v>
      </c>
    </row>
    <row r="10" spans="2:15" x14ac:dyDescent="0.3">
      <c r="B10" s="50" t="s">
        <v>59</v>
      </c>
      <c r="C10" s="51"/>
      <c r="D10" s="55"/>
      <c r="E10" s="12">
        <v>10</v>
      </c>
      <c r="F10" s="58">
        <v>0</v>
      </c>
      <c r="G10" s="59">
        <v>9</v>
      </c>
      <c r="H10" s="12">
        <f>E10*G10</f>
        <v>90</v>
      </c>
      <c r="I10" s="55">
        <f>H10*J57</f>
        <v>17100</v>
      </c>
      <c r="J10" s="12"/>
      <c r="K10" s="12"/>
    </row>
    <row r="11" spans="2:15" x14ac:dyDescent="0.3">
      <c r="B11" s="50" t="s">
        <v>60</v>
      </c>
      <c r="C11" s="51"/>
      <c r="D11" s="55"/>
      <c r="E11" s="12">
        <v>10</v>
      </c>
      <c r="F11" s="58">
        <v>0</v>
      </c>
      <c r="G11" s="59">
        <v>9</v>
      </c>
      <c r="H11" s="12">
        <f>E11*G11</f>
        <v>90</v>
      </c>
      <c r="I11" s="55">
        <f>H11*J66</f>
        <v>14850</v>
      </c>
      <c r="J11" s="12"/>
      <c r="K11" s="12"/>
    </row>
    <row r="12" spans="2:15" x14ac:dyDescent="0.3">
      <c r="B12" s="50" t="s">
        <v>63</v>
      </c>
      <c r="C12" s="51"/>
      <c r="D12" s="55"/>
      <c r="E12" s="12"/>
      <c r="F12" s="12"/>
      <c r="G12" s="12"/>
      <c r="H12" s="12"/>
      <c r="I12" s="52">
        <v>5000</v>
      </c>
      <c r="J12" s="12"/>
      <c r="K12" s="12"/>
    </row>
    <row r="13" spans="2:15" x14ac:dyDescent="0.3">
      <c r="B13" s="50" t="s">
        <v>76</v>
      </c>
      <c r="C13" s="51"/>
      <c r="D13" s="12"/>
      <c r="E13" s="52"/>
      <c r="F13" s="12"/>
      <c r="G13" s="12"/>
      <c r="H13" s="66">
        <f>H83</f>
        <v>76.818200000000004</v>
      </c>
      <c r="I13" s="52"/>
      <c r="J13" s="55">
        <f>H13+(2*2.5)*J49</f>
        <v>776.71820000000014</v>
      </c>
      <c r="K13" s="12"/>
    </row>
    <row r="14" spans="2:15" x14ac:dyDescent="0.3">
      <c r="B14" s="50" t="s">
        <v>87</v>
      </c>
      <c r="C14" s="51"/>
      <c r="D14" s="55"/>
      <c r="E14" s="12"/>
      <c r="F14" s="52"/>
      <c r="G14" s="52"/>
      <c r="H14" s="12"/>
      <c r="I14" s="52">
        <v>300</v>
      </c>
      <c r="J14" s="12"/>
      <c r="K14" s="12"/>
    </row>
    <row r="15" spans="2:15" x14ac:dyDescent="0.3">
      <c r="B15" s="50"/>
      <c r="C15" s="51"/>
      <c r="D15" s="12"/>
      <c r="E15" s="12"/>
      <c r="F15" s="12"/>
      <c r="G15" s="12"/>
      <c r="H15" s="12"/>
      <c r="I15" s="52"/>
      <c r="J15" s="12"/>
      <c r="K15" s="55">
        <f>SUM(I6:I14)+SUM(K6:K14)-SUM(J6:J14)</f>
        <v>56952.355799999998</v>
      </c>
    </row>
    <row r="17" spans="2:9" x14ac:dyDescent="0.3">
      <c r="B17" s="49" t="s">
        <v>120</v>
      </c>
      <c r="C17" s="50"/>
      <c r="D17" s="50" t="s">
        <v>14</v>
      </c>
      <c r="E17" s="50" t="s">
        <v>126</v>
      </c>
      <c r="F17" s="50" t="s">
        <v>110</v>
      </c>
      <c r="G17" s="50" t="s">
        <v>109</v>
      </c>
      <c r="H17" s="50" t="s">
        <v>209</v>
      </c>
      <c r="I17" s="50" t="s">
        <v>127</v>
      </c>
    </row>
    <row r="18" spans="2:9" x14ac:dyDescent="0.3">
      <c r="B18" s="50"/>
      <c r="C18" s="51"/>
      <c r="D18" s="56"/>
      <c r="E18" s="1"/>
      <c r="F18" s="1"/>
      <c r="G18" s="80">
        <v>40</v>
      </c>
      <c r="H18" s="1"/>
      <c r="I18" s="1"/>
    </row>
    <row r="19" spans="2:9" x14ac:dyDescent="0.3">
      <c r="B19" s="50" t="s">
        <v>121</v>
      </c>
      <c r="C19" s="51"/>
      <c r="D19" s="75">
        <f>SUM(H6:H9)</f>
        <v>146.30000000000001</v>
      </c>
      <c r="E19" s="81">
        <f>0.3</f>
        <v>0.3</v>
      </c>
      <c r="F19" s="79">
        <f t="shared" ref="F19:F26" si="1">E19*D19</f>
        <v>43.89</v>
      </c>
      <c r="G19" s="52">
        <f t="shared" ref="G19:G26" si="2">F19*G$18</f>
        <v>1755.6</v>
      </c>
      <c r="H19" s="12"/>
      <c r="I19" s="12"/>
    </row>
    <row r="20" spans="2:9" x14ac:dyDescent="0.3">
      <c r="B20" s="50" t="s">
        <v>59</v>
      </c>
      <c r="C20" s="53"/>
      <c r="D20" s="75">
        <f>H10</f>
        <v>90</v>
      </c>
      <c r="E20" s="81">
        <f>0.5</f>
        <v>0.5</v>
      </c>
      <c r="F20" s="79">
        <f t="shared" si="1"/>
        <v>45</v>
      </c>
      <c r="G20" s="52">
        <f t="shared" si="2"/>
        <v>1800</v>
      </c>
      <c r="H20" s="12"/>
      <c r="I20" s="12"/>
    </row>
    <row r="21" spans="2:9" x14ac:dyDescent="0.3">
      <c r="B21" s="50" t="s">
        <v>60</v>
      </c>
      <c r="C21" s="54"/>
      <c r="D21" s="75">
        <f>H11</f>
        <v>90</v>
      </c>
      <c r="E21" s="81">
        <f>0.4</f>
        <v>0.4</v>
      </c>
      <c r="F21" s="79">
        <f t="shared" si="1"/>
        <v>36</v>
      </c>
      <c r="G21" s="52">
        <f t="shared" si="2"/>
        <v>1440</v>
      </c>
      <c r="H21" s="12"/>
      <c r="I21" s="12"/>
    </row>
    <row r="22" spans="2:9" x14ac:dyDescent="0.3">
      <c r="B22" s="50" t="s">
        <v>63</v>
      </c>
      <c r="C22" s="51"/>
      <c r="D22" s="83">
        <v>1</v>
      </c>
      <c r="E22" s="82">
        <v>15</v>
      </c>
      <c r="F22" s="79">
        <f t="shared" si="1"/>
        <v>15</v>
      </c>
      <c r="G22" s="52">
        <f t="shared" si="2"/>
        <v>600</v>
      </c>
      <c r="H22" s="12"/>
      <c r="I22" s="12"/>
    </row>
    <row r="23" spans="2:9" x14ac:dyDescent="0.3">
      <c r="B23" s="50" t="s">
        <v>122</v>
      </c>
      <c r="C23" s="51"/>
      <c r="D23" s="83">
        <v>6</v>
      </c>
      <c r="E23" s="81">
        <v>1.5</v>
      </c>
      <c r="F23" s="79">
        <f t="shared" si="1"/>
        <v>9</v>
      </c>
      <c r="G23" s="52">
        <f t="shared" si="2"/>
        <v>360</v>
      </c>
      <c r="H23" s="12"/>
      <c r="I23" s="12"/>
    </row>
    <row r="24" spans="2:9" x14ac:dyDescent="0.3">
      <c r="B24" s="50" t="s">
        <v>123</v>
      </c>
      <c r="C24" s="51"/>
      <c r="D24" s="83">
        <v>1</v>
      </c>
      <c r="E24" s="81">
        <v>1.5</v>
      </c>
      <c r="F24" s="79">
        <f t="shared" si="1"/>
        <v>1.5</v>
      </c>
      <c r="G24" s="52">
        <f t="shared" si="2"/>
        <v>60</v>
      </c>
      <c r="H24" s="12"/>
      <c r="I24" s="55"/>
    </row>
    <row r="25" spans="2:9" x14ac:dyDescent="0.3">
      <c r="B25" s="50" t="s">
        <v>124</v>
      </c>
      <c r="C25" s="51"/>
      <c r="D25" s="83">
        <v>8</v>
      </c>
      <c r="E25" s="81">
        <f>0.2</f>
        <v>0.2</v>
      </c>
      <c r="F25" s="79">
        <f t="shared" si="1"/>
        <v>1.6</v>
      </c>
      <c r="G25" s="52">
        <f t="shared" si="2"/>
        <v>64</v>
      </c>
      <c r="H25" s="12"/>
      <c r="I25" s="55"/>
    </row>
    <row r="26" spans="2:9" x14ac:dyDescent="0.3">
      <c r="B26" s="50" t="s">
        <v>125</v>
      </c>
      <c r="C26" s="51"/>
      <c r="D26" s="83">
        <v>1</v>
      </c>
      <c r="E26" s="81">
        <v>1.5</v>
      </c>
      <c r="F26" s="79">
        <f t="shared" si="1"/>
        <v>1.5</v>
      </c>
      <c r="G26" s="52">
        <f t="shared" si="2"/>
        <v>60</v>
      </c>
      <c r="H26" s="12"/>
      <c r="I26" s="55"/>
    </row>
    <row r="27" spans="2:9" x14ac:dyDescent="0.3">
      <c r="B27" s="50"/>
      <c r="C27" s="51"/>
      <c r="D27" s="83"/>
      <c r="E27" s="81"/>
      <c r="F27" s="79"/>
      <c r="G27" s="52"/>
      <c r="H27" s="12"/>
      <c r="I27" s="55">
        <f>SUM(G19:G26)</f>
        <v>6139.6</v>
      </c>
    </row>
    <row r="29" spans="2:9" x14ac:dyDescent="0.3">
      <c r="I29" s="50" t="s">
        <v>127</v>
      </c>
    </row>
    <row r="30" spans="2:9" x14ac:dyDescent="0.3">
      <c r="I30" s="57">
        <f>K15+I27</f>
        <v>63091.955799999996</v>
      </c>
    </row>
    <row r="33" spans="2:10" ht="15" thickBot="1" x14ac:dyDescent="0.35"/>
    <row r="34" spans="2:10" ht="26.4" thickBot="1" x14ac:dyDescent="0.55000000000000004">
      <c r="B34" s="84" t="s">
        <v>128</v>
      </c>
      <c r="C34" s="85"/>
      <c r="D34" s="85"/>
      <c r="E34" s="85"/>
      <c r="F34" s="85"/>
      <c r="G34" s="85"/>
      <c r="H34" s="85"/>
      <c r="I34" s="85"/>
      <c r="J34" s="86"/>
    </row>
    <row r="41" spans="2:10" x14ac:dyDescent="0.3">
      <c r="B41" s="49" t="s">
        <v>90</v>
      </c>
      <c r="C41" s="50"/>
      <c r="D41" s="50" t="s">
        <v>84</v>
      </c>
      <c r="E41" s="50"/>
      <c r="F41" s="50"/>
      <c r="G41" s="50"/>
      <c r="H41" s="50"/>
      <c r="I41" s="50"/>
      <c r="J41" s="50" t="s">
        <v>86</v>
      </c>
    </row>
    <row r="42" spans="2:10" x14ac:dyDescent="0.3">
      <c r="B42" s="50"/>
      <c r="C42" s="51"/>
      <c r="D42" s="56"/>
      <c r="E42" s="1"/>
      <c r="F42" s="1"/>
      <c r="G42" s="63"/>
      <c r="H42" s="1"/>
      <c r="I42" s="57"/>
      <c r="J42" s="1"/>
    </row>
    <row r="43" spans="2:10" x14ac:dyDescent="0.3">
      <c r="B43" s="50" t="s">
        <v>236</v>
      </c>
      <c r="C43" s="51"/>
      <c r="D43" s="62">
        <v>14.64</v>
      </c>
      <c r="E43" s="12"/>
      <c r="F43" s="58"/>
      <c r="G43" s="59"/>
      <c r="H43" s="60"/>
      <c r="I43" s="61"/>
      <c r="J43" s="12"/>
    </row>
    <row r="44" spans="2:10" x14ac:dyDescent="0.3">
      <c r="B44" s="50" t="s">
        <v>80</v>
      </c>
      <c r="C44" s="53"/>
      <c r="D44" s="62">
        <v>5</v>
      </c>
      <c r="E44" s="12"/>
      <c r="F44" s="58"/>
      <c r="G44" s="59"/>
      <c r="H44" s="60"/>
      <c r="I44" s="61"/>
      <c r="J44" s="12"/>
    </row>
    <row r="45" spans="2:10" x14ac:dyDescent="0.3">
      <c r="B45" s="50" t="s">
        <v>81</v>
      </c>
      <c r="C45" s="54"/>
      <c r="D45" s="62">
        <v>5</v>
      </c>
      <c r="E45" s="12"/>
      <c r="F45" s="58"/>
      <c r="G45" s="59"/>
      <c r="H45" s="60"/>
      <c r="I45" s="61"/>
      <c r="J45" s="12"/>
    </row>
    <row r="46" spans="2:10" x14ac:dyDescent="0.3">
      <c r="B46" s="50" t="s">
        <v>239</v>
      </c>
      <c r="C46" s="51"/>
      <c r="D46" s="62">
        <v>55.7</v>
      </c>
      <c r="E46" s="12"/>
      <c r="F46" s="58"/>
      <c r="G46" s="59"/>
      <c r="H46" s="60"/>
      <c r="I46" s="61"/>
      <c r="J46" s="12"/>
    </row>
    <row r="47" spans="2:10" x14ac:dyDescent="0.3">
      <c r="B47" s="50" t="s">
        <v>82</v>
      </c>
      <c r="C47" s="51"/>
      <c r="D47" s="55">
        <v>14.64</v>
      </c>
      <c r="E47" s="12"/>
      <c r="F47" s="58"/>
      <c r="G47" s="59"/>
      <c r="H47" s="12"/>
      <c r="I47" s="12"/>
      <c r="J47" s="12"/>
    </row>
    <row r="48" spans="2:10" x14ac:dyDescent="0.3">
      <c r="B48" s="50" t="s">
        <v>83</v>
      </c>
      <c r="C48" s="51"/>
      <c r="D48" s="55">
        <v>5</v>
      </c>
      <c r="E48" s="12"/>
      <c r="F48" s="58"/>
      <c r="G48" s="59"/>
      <c r="H48" s="12"/>
      <c r="I48" s="12"/>
      <c r="J48" s="12"/>
    </row>
    <row r="49" spans="2:11" x14ac:dyDescent="0.3">
      <c r="B49" s="50" t="s">
        <v>207</v>
      </c>
      <c r="C49" s="51"/>
      <c r="D49" s="55">
        <v>40</v>
      </c>
      <c r="E49" s="12"/>
      <c r="F49" s="12"/>
      <c r="G49" s="12"/>
      <c r="H49" s="12"/>
      <c r="I49" s="12"/>
      <c r="J49" s="152">
        <f>SUM(D43:D49)</f>
        <v>139.98000000000002</v>
      </c>
    </row>
    <row r="51" spans="2:11" x14ac:dyDescent="0.3">
      <c r="B51" s="49" t="s">
        <v>91</v>
      </c>
      <c r="C51" s="50"/>
      <c r="D51" s="50" t="s">
        <v>84</v>
      </c>
      <c r="E51" s="50"/>
      <c r="F51" s="50"/>
      <c r="G51" s="50"/>
      <c r="H51" s="50"/>
      <c r="I51" s="50"/>
      <c r="J51" s="50" t="s">
        <v>86</v>
      </c>
      <c r="K51" s="45"/>
    </row>
    <row r="52" spans="2:11" x14ac:dyDescent="0.3">
      <c r="B52" s="50"/>
      <c r="C52" s="51"/>
      <c r="D52" s="56"/>
      <c r="E52" s="1"/>
      <c r="F52" s="1"/>
      <c r="G52" s="63"/>
      <c r="H52" s="1"/>
      <c r="I52" s="57"/>
      <c r="J52" s="1"/>
      <c r="K52" s="45"/>
    </row>
    <row r="53" spans="2:11" x14ac:dyDescent="0.3">
      <c r="B53" s="50" t="s">
        <v>93</v>
      </c>
      <c r="C53" s="53"/>
      <c r="D53" s="62">
        <v>80</v>
      </c>
      <c r="E53" s="12"/>
      <c r="F53" s="58"/>
      <c r="G53" s="59"/>
      <c r="H53" s="60"/>
      <c r="I53" s="61"/>
      <c r="J53" s="12"/>
      <c r="K53" s="45"/>
    </row>
    <row r="54" spans="2:11" x14ac:dyDescent="0.3">
      <c r="B54" s="50" t="s">
        <v>81</v>
      </c>
      <c r="C54" s="54"/>
      <c r="D54" s="62">
        <v>5</v>
      </c>
      <c r="E54" s="12"/>
      <c r="F54" s="58"/>
      <c r="G54" s="59"/>
      <c r="H54" s="60"/>
      <c r="I54" s="61"/>
      <c r="J54" s="12"/>
      <c r="K54" s="45"/>
    </row>
    <row r="55" spans="2:11" x14ac:dyDescent="0.3">
      <c r="B55" s="50" t="s">
        <v>94</v>
      </c>
      <c r="C55" s="51"/>
      <c r="D55" s="62">
        <v>60</v>
      </c>
      <c r="E55" s="12"/>
      <c r="F55" s="58"/>
      <c r="G55" s="59"/>
      <c r="H55" s="60"/>
      <c r="I55" s="61"/>
      <c r="J55" s="12"/>
      <c r="K55" s="45"/>
    </row>
    <row r="56" spans="2:11" x14ac:dyDescent="0.3">
      <c r="B56" s="50" t="s">
        <v>83</v>
      </c>
      <c r="C56" s="51"/>
      <c r="D56" s="52">
        <v>5</v>
      </c>
      <c r="E56" s="12"/>
      <c r="F56" s="58"/>
      <c r="G56" s="59"/>
      <c r="H56" s="12"/>
      <c r="I56" s="12"/>
      <c r="J56" s="12"/>
    </row>
    <row r="57" spans="2:11" x14ac:dyDescent="0.3">
      <c r="B57" s="50" t="s">
        <v>207</v>
      </c>
      <c r="C57" s="51"/>
      <c r="D57" s="52">
        <v>40</v>
      </c>
      <c r="E57" s="12"/>
      <c r="F57" s="12"/>
      <c r="G57" s="12"/>
      <c r="H57" s="12"/>
      <c r="I57" s="12"/>
      <c r="J57" s="55">
        <f>SUM(D53:D57)</f>
        <v>190</v>
      </c>
    </row>
    <row r="59" spans="2:11" x14ac:dyDescent="0.3">
      <c r="B59" s="49" t="s">
        <v>96</v>
      </c>
      <c r="C59" s="50"/>
      <c r="D59" s="50" t="s">
        <v>84</v>
      </c>
      <c r="E59" s="50"/>
      <c r="F59" s="50"/>
      <c r="G59" s="50"/>
      <c r="H59" s="50"/>
      <c r="I59" s="50"/>
      <c r="J59" s="50" t="s">
        <v>86</v>
      </c>
    </row>
    <row r="60" spans="2:11" x14ac:dyDescent="0.3">
      <c r="B60" s="50"/>
      <c r="C60" s="51"/>
      <c r="D60" s="56"/>
      <c r="E60" s="1"/>
      <c r="F60" s="1"/>
      <c r="G60" s="63"/>
      <c r="H60" s="1"/>
      <c r="I60" s="57"/>
      <c r="J60" s="1"/>
    </row>
    <row r="61" spans="2:11" x14ac:dyDescent="0.3">
      <c r="B61" s="50" t="s">
        <v>99</v>
      </c>
      <c r="C61" s="51"/>
      <c r="D61" s="62">
        <v>40</v>
      </c>
      <c r="E61" s="12"/>
      <c r="F61" s="58"/>
      <c r="G61" s="59"/>
      <c r="H61" s="60"/>
      <c r="I61" s="61"/>
      <c r="J61" s="12"/>
    </row>
    <row r="62" spans="2:11" x14ac:dyDescent="0.3">
      <c r="B62" s="50" t="s">
        <v>97</v>
      </c>
      <c r="C62" s="53"/>
      <c r="D62" s="62">
        <v>15</v>
      </c>
      <c r="E62" s="12"/>
      <c r="F62" s="58"/>
      <c r="G62" s="59"/>
      <c r="H62" s="60"/>
      <c r="I62" s="61"/>
      <c r="J62" s="12"/>
    </row>
    <row r="63" spans="2:11" x14ac:dyDescent="0.3">
      <c r="B63" s="50" t="s">
        <v>94</v>
      </c>
      <c r="C63" s="54"/>
      <c r="D63" s="62">
        <v>60</v>
      </c>
      <c r="E63" s="12"/>
      <c r="F63" s="58"/>
      <c r="G63" s="59"/>
      <c r="H63" s="60"/>
      <c r="I63" s="61"/>
      <c r="J63" s="12"/>
    </row>
    <row r="64" spans="2:11" x14ac:dyDescent="0.3">
      <c r="B64" s="50" t="s">
        <v>99</v>
      </c>
      <c r="C64" s="51"/>
      <c r="D64" s="62">
        <v>40</v>
      </c>
      <c r="E64" s="12"/>
      <c r="F64" s="58"/>
      <c r="G64" s="59"/>
      <c r="H64" s="60"/>
      <c r="I64" s="61"/>
      <c r="J64" s="12"/>
    </row>
    <row r="65" spans="2:10" x14ac:dyDescent="0.3">
      <c r="B65" s="50" t="s">
        <v>98</v>
      </c>
      <c r="C65" s="51"/>
      <c r="D65" s="62">
        <v>10</v>
      </c>
      <c r="E65" s="12"/>
      <c r="F65" s="58"/>
      <c r="G65" s="59"/>
      <c r="H65" s="12"/>
      <c r="I65" s="12"/>
      <c r="J65" s="12"/>
    </row>
    <row r="66" spans="2:10" x14ac:dyDescent="0.3">
      <c r="B66" s="50"/>
      <c r="C66" s="51"/>
      <c r="D66" s="12"/>
      <c r="E66" s="52"/>
      <c r="F66" s="12"/>
      <c r="G66" s="12"/>
      <c r="H66" s="12"/>
      <c r="I66" s="12"/>
      <c r="J66" s="152">
        <f>SUM(D61:D66)</f>
        <v>165</v>
      </c>
    </row>
    <row r="75" spans="2:10" x14ac:dyDescent="0.3">
      <c r="B75" s="2" t="s">
        <v>237</v>
      </c>
      <c r="C75" s="3"/>
      <c r="D75" s="4"/>
      <c r="E75" s="4"/>
      <c r="F75" s="4"/>
      <c r="G75" s="5"/>
    </row>
    <row r="76" spans="2:10" x14ac:dyDescent="0.3">
      <c r="B76" s="6" t="s">
        <v>15</v>
      </c>
      <c r="C76" s="7" t="s">
        <v>16</v>
      </c>
      <c r="D76" s="7" t="s">
        <v>17</v>
      </c>
      <c r="E76" s="7" t="s">
        <v>18</v>
      </c>
      <c r="F76" s="7" t="s">
        <v>19</v>
      </c>
      <c r="G76" s="48"/>
      <c r="H76" s="9" t="s">
        <v>20</v>
      </c>
    </row>
    <row r="77" spans="2:10" x14ac:dyDescent="0.3">
      <c r="B77" s="10" t="s">
        <v>77</v>
      </c>
      <c r="C77" s="153">
        <v>4</v>
      </c>
      <c r="D77" s="10">
        <v>6820</v>
      </c>
      <c r="E77" s="10">
        <v>1900</v>
      </c>
      <c r="F77" s="10"/>
      <c r="G77" s="10"/>
      <c r="H77" s="46">
        <f>(D77*E77*C77)/1000000</f>
        <v>51.832000000000001</v>
      </c>
    </row>
    <row r="78" spans="2:10" x14ac:dyDescent="0.3">
      <c r="B78" s="10" t="s">
        <v>77</v>
      </c>
      <c r="C78" s="10">
        <v>2</v>
      </c>
      <c r="D78" s="10">
        <v>6000</v>
      </c>
      <c r="E78" s="10">
        <v>1900</v>
      </c>
      <c r="F78" s="10"/>
      <c r="G78" s="10"/>
      <c r="H78" s="46">
        <f>(D78*E78*C78)/1000000</f>
        <v>22.8</v>
      </c>
    </row>
    <row r="79" spans="2:10" x14ac:dyDescent="0.3">
      <c r="B79" s="10" t="s">
        <v>77</v>
      </c>
      <c r="C79" s="10">
        <v>2</v>
      </c>
      <c r="D79" s="10">
        <v>1940</v>
      </c>
      <c r="E79" s="10">
        <v>1900</v>
      </c>
      <c r="F79" s="10"/>
      <c r="G79" s="10"/>
      <c r="H79" s="46">
        <f>(D79*E79*C79)/1000000</f>
        <v>7.3719999999999999</v>
      </c>
    </row>
    <row r="80" spans="2:10" x14ac:dyDescent="0.3">
      <c r="B80" s="10" t="s">
        <v>21</v>
      </c>
      <c r="C80" s="10">
        <v>5</v>
      </c>
      <c r="D80" s="10">
        <f>(D77+D78+D79)/3</f>
        <v>4920</v>
      </c>
      <c r="E80" s="10">
        <v>114</v>
      </c>
      <c r="F80" s="10">
        <v>67</v>
      </c>
      <c r="G80" s="10"/>
      <c r="H80" s="46">
        <f>(D80*F80*C80)/1000000</f>
        <v>1.6482000000000001</v>
      </c>
    </row>
    <row r="81" spans="2:8" x14ac:dyDescent="0.3">
      <c r="B81" s="10" t="s">
        <v>22</v>
      </c>
      <c r="C81" s="47">
        <v>16</v>
      </c>
      <c r="D81" s="10">
        <v>1500</v>
      </c>
      <c r="E81" s="10">
        <v>114</v>
      </c>
      <c r="F81" s="10">
        <v>67</v>
      </c>
      <c r="G81" s="10"/>
      <c r="H81" s="46">
        <f>(D81*F81*C81)/1000000</f>
        <v>1.6080000000000001</v>
      </c>
    </row>
    <row r="82" spans="2:8" x14ac:dyDescent="0.3">
      <c r="B82" s="10" t="s">
        <v>23</v>
      </c>
      <c r="C82" s="47">
        <v>16</v>
      </c>
      <c r="D82" s="10">
        <v>1800</v>
      </c>
      <c r="E82" s="10">
        <v>114</v>
      </c>
      <c r="F82" s="10">
        <v>67</v>
      </c>
      <c r="G82" s="10"/>
      <c r="H82" s="46">
        <f>(D82*F82*C82)/1000000</f>
        <v>1.9296</v>
      </c>
    </row>
    <row r="83" spans="2:8" x14ac:dyDescent="0.3">
      <c r="B83" s="10" t="s">
        <v>24</v>
      </c>
      <c r="C83" s="10"/>
      <c r="D83" s="10"/>
      <c r="E83" s="10"/>
      <c r="F83" s="10"/>
      <c r="G83" s="10"/>
      <c r="H83" s="46">
        <f>SUM(H77:H79)-SUM(H80:H82)</f>
        <v>76.818200000000004</v>
      </c>
    </row>
    <row r="84" spans="2:8" x14ac:dyDescent="0.3">
      <c r="B84" s="11"/>
      <c r="C84" s="11"/>
      <c r="D84" s="11"/>
      <c r="E84" s="11"/>
      <c r="F84" s="11"/>
      <c r="G84" s="11"/>
      <c r="H84" s="11"/>
    </row>
    <row r="85" spans="2:8" x14ac:dyDescent="0.3">
      <c r="B85" s="10" t="s">
        <v>78</v>
      </c>
      <c r="C85" s="12">
        <v>1</v>
      </c>
      <c r="D85" s="12"/>
      <c r="E85" s="12"/>
      <c r="F85" s="12"/>
      <c r="G85" s="12"/>
      <c r="H85" s="12"/>
    </row>
    <row r="86" spans="2:8" x14ac:dyDescent="0.3">
      <c r="B86" s="13"/>
      <c r="C86" s="13"/>
      <c r="D86" s="13"/>
      <c r="E86" s="13"/>
      <c r="F86" s="13"/>
      <c r="G86" s="13"/>
      <c r="H86" s="13"/>
    </row>
    <row r="87" spans="2:8" x14ac:dyDescent="0.3">
      <c r="B87" s="14" t="s">
        <v>26</v>
      </c>
      <c r="C87" s="14" t="s">
        <v>27</v>
      </c>
      <c r="D87" s="14" t="s">
        <v>28</v>
      </c>
      <c r="E87" s="14" t="s">
        <v>29</v>
      </c>
      <c r="F87" s="14" t="s">
        <v>30</v>
      </c>
      <c r="G87" s="15" t="s">
        <v>31</v>
      </c>
      <c r="H87" s="14" t="s">
        <v>32</v>
      </c>
    </row>
    <row r="88" spans="2:8" x14ac:dyDescent="0.3">
      <c r="B88" s="16" t="s">
        <v>33</v>
      </c>
      <c r="C88" s="17"/>
      <c r="D88" s="17"/>
      <c r="E88" s="17"/>
      <c r="F88" s="18">
        <v>8</v>
      </c>
      <c r="G88" s="19">
        <v>500</v>
      </c>
      <c r="H88" s="20">
        <f>F88*G88*C85</f>
        <v>4000</v>
      </c>
    </row>
    <row r="89" spans="2:8" x14ac:dyDescent="0.3">
      <c r="B89" s="10" t="s">
        <v>49</v>
      </c>
      <c r="C89" s="21">
        <v>50</v>
      </c>
      <c r="D89" s="21">
        <f>75/20</f>
        <v>3.75</v>
      </c>
      <c r="E89" s="22">
        <f>C89*H83*C85</f>
        <v>3840.9100000000003</v>
      </c>
      <c r="F89" s="8"/>
      <c r="G89" s="8"/>
      <c r="H89" s="23">
        <f>E89+H88</f>
        <v>7840.91</v>
      </c>
    </row>
    <row r="90" spans="2:8" x14ac:dyDescent="0.3">
      <c r="B90" s="10" t="s">
        <v>34</v>
      </c>
      <c r="C90" s="21">
        <v>115</v>
      </c>
      <c r="D90" s="21">
        <f>140/20</f>
        <v>7</v>
      </c>
      <c r="E90" s="22">
        <f>C90*H83*C85</f>
        <v>8834.0930000000008</v>
      </c>
      <c r="F90" s="8"/>
      <c r="G90" s="8"/>
      <c r="H90" s="23">
        <f>E90+H88</f>
        <v>12834.093000000001</v>
      </c>
    </row>
    <row r="91" spans="2:8" x14ac:dyDescent="0.3">
      <c r="B91" s="10" t="s">
        <v>35</v>
      </c>
      <c r="C91" s="21">
        <v>120</v>
      </c>
      <c r="D91" s="21">
        <f>180/20</f>
        <v>9</v>
      </c>
      <c r="E91" s="22">
        <f>C91*H83*C85</f>
        <v>9218.1840000000011</v>
      </c>
      <c r="F91" s="8"/>
      <c r="G91" s="8"/>
      <c r="H91" s="23">
        <f>E91+H88</f>
        <v>13218.184000000001</v>
      </c>
    </row>
    <row r="92" spans="2:8" x14ac:dyDescent="0.3">
      <c r="B92" s="10" t="s">
        <v>36</v>
      </c>
      <c r="C92" s="21">
        <v>125</v>
      </c>
      <c r="D92" s="21">
        <f>220/20</f>
        <v>11</v>
      </c>
      <c r="E92" s="22">
        <f>C92*H83*C85</f>
        <v>9602.2750000000015</v>
      </c>
      <c r="F92" s="8"/>
      <c r="G92" s="8"/>
      <c r="H92" s="23">
        <f>E92+H88</f>
        <v>13602.275000000001</v>
      </c>
    </row>
    <row r="93" spans="2:8" x14ac:dyDescent="0.3">
      <c r="B93" s="10" t="s">
        <v>37</v>
      </c>
      <c r="C93" s="21">
        <v>130</v>
      </c>
      <c r="D93" s="21">
        <f>260/20</f>
        <v>13</v>
      </c>
      <c r="E93" s="22">
        <f>C93*H83*C85</f>
        <v>9986.366</v>
      </c>
      <c r="F93" s="8"/>
      <c r="G93" s="8"/>
      <c r="H93" s="23">
        <f>E93+H88</f>
        <v>13986.366</v>
      </c>
    </row>
    <row r="94" spans="2:8" x14ac:dyDescent="0.3">
      <c r="B94" s="10" t="s">
        <v>38</v>
      </c>
      <c r="C94" s="21">
        <v>170</v>
      </c>
      <c r="D94" s="21">
        <f>280/20</f>
        <v>14</v>
      </c>
      <c r="E94" s="22">
        <f>C94*H83*C85</f>
        <v>13059.094000000001</v>
      </c>
      <c r="F94" s="8"/>
      <c r="G94" s="8"/>
      <c r="H94" s="23">
        <f>E94+H88</f>
        <v>17059.094000000001</v>
      </c>
    </row>
    <row r="95" spans="2:8" x14ac:dyDescent="0.3">
      <c r="B95" s="14" t="s">
        <v>39</v>
      </c>
      <c r="C95" s="8"/>
      <c r="D95" s="24"/>
      <c r="E95" s="14" t="s">
        <v>40</v>
      </c>
      <c r="F95" s="24"/>
      <c r="G95" s="24"/>
      <c r="H95" s="25">
        <f>H94-H90</f>
        <v>4225.0010000000002</v>
      </c>
    </row>
    <row r="96" spans="2:8" x14ac:dyDescent="0.3">
      <c r="B96" s="13"/>
      <c r="C96" s="13"/>
      <c r="D96" s="13"/>
      <c r="E96" s="13"/>
      <c r="F96" s="13"/>
      <c r="G96" s="13"/>
      <c r="H96" s="13"/>
    </row>
    <row r="97" spans="2:8" x14ac:dyDescent="0.3">
      <c r="B97" s="14" t="s">
        <v>26</v>
      </c>
      <c r="C97" s="14"/>
      <c r="D97" s="25" t="s">
        <v>41</v>
      </c>
      <c r="E97" s="14" t="s">
        <v>40</v>
      </c>
      <c r="F97" s="24"/>
      <c r="G97" s="24"/>
      <c r="H97" s="24" t="s">
        <v>42</v>
      </c>
    </row>
    <row r="98" spans="2:8" x14ac:dyDescent="0.3">
      <c r="B98" s="10" t="s">
        <v>49</v>
      </c>
      <c r="C98" s="26"/>
      <c r="D98" s="27">
        <f t="shared" ref="D98:D103" si="3">H89</f>
        <v>7840.91</v>
      </c>
      <c r="E98" s="28">
        <f>H83*D89*C85</f>
        <v>288.06825000000003</v>
      </c>
      <c r="F98" s="24"/>
      <c r="G98" s="24"/>
      <c r="H98" s="29">
        <f>D98/E98</f>
        <v>27.218931624710461</v>
      </c>
    </row>
    <row r="99" spans="2:8" x14ac:dyDescent="0.3">
      <c r="B99" s="10" t="s">
        <v>34</v>
      </c>
      <c r="C99" s="26"/>
      <c r="D99" s="27">
        <f t="shared" si="3"/>
        <v>12834.093000000001</v>
      </c>
      <c r="E99" s="28">
        <f>H83*D90*C85</f>
        <v>537.72739999999999</v>
      </c>
      <c r="F99" s="24"/>
      <c r="G99" s="24"/>
      <c r="H99" s="29">
        <f>D99/E99</f>
        <v>23.867284798952035</v>
      </c>
    </row>
    <row r="100" spans="2:8" x14ac:dyDescent="0.3">
      <c r="B100" s="10" t="s">
        <v>35</v>
      </c>
      <c r="C100" s="26"/>
      <c r="D100" s="27">
        <f t="shared" si="3"/>
        <v>13218.184000000001</v>
      </c>
      <c r="E100" s="28">
        <f>H83*D91*C85</f>
        <v>691.36380000000008</v>
      </c>
      <c r="F100" s="24"/>
      <c r="G100" s="24"/>
      <c r="H100" s="29">
        <f t="shared" ref="H100:H103" si="4">D100/E100</f>
        <v>19.118999288073805</v>
      </c>
    </row>
    <row r="101" spans="2:8" x14ac:dyDescent="0.3">
      <c r="B101" s="10" t="s">
        <v>36</v>
      </c>
      <c r="C101" s="26"/>
      <c r="D101" s="27">
        <f t="shared" si="3"/>
        <v>13602.275000000001</v>
      </c>
      <c r="E101" s="28">
        <f>H83*D92*C85</f>
        <v>845.00020000000006</v>
      </c>
      <c r="F101" s="24"/>
      <c r="G101" s="24"/>
      <c r="H101" s="29">
        <f t="shared" si="4"/>
        <v>16.097363053878567</v>
      </c>
    </row>
    <row r="102" spans="2:8" x14ac:dyDescent="0.3">
      <c r="B102" s="10" t="s">
        <v>37</v>
      </c>
      <c r="C102" s="26"/>
      <c r="D102" s="27">
        <f t="shared" si="3"/>
        <v>13986.366</v>
      </c>
      <c r="E102" s="28">
        <f>H83*D93*C85</f>
        <v>998.63660000000004</v>
      </c>
      <c r="F102" s="24"/>
      <c r="G102" s="24"/>
      <c r="H102" s="29">
        <f t="shared" si="4"/>
        <v>14.005461045589556</v>
      </c>
    </row>
    <row r="103" spans="2:8" ht="15" thickBot="1" x14ac:dyDescent="0.35">
      <c r="B103" s="10" t="s">
        <v>48</v>
      </c>
      <c r="C103" s="26"/>
      <c r="D103" s="27">
        <f t="shared" si="3"/>
        <v>17059.094000000001</v>
      </c>
      <c r="E103" s="30">
        <f>H83*D94*C85</f>
        <v>1075.4548</v>
      </c>
      <c r="F103" s="31"/>
      <c r="G103" s="31"/>
      <c r="H103" s="29">
        <f t="shared" si="4"/>
        <v>15.862213828047446</v>
      </c>
    </row>
    <row r="104" spans="2:8" ht="15" thickBot="1" x14ac:dyDescent="0.35">
      <c r="B104" s="24"/>
      <c r="C104" s="24"/>
      <c r="D104" s="32"/>
      <c r="E104" s="33" t="s">
        <v>50</v>
      </c>
      <c r="F104" s="34"/>
      <c r="G104" s="35"/>
      <c r="H104" s="36">
        <f>H101-H98</f>
        <v>-11.121568570831894</v>
      </c>
    </row>
    <row r="105" spans="2:8" ht="15" thickBot="1" x14ac:dyDescent="0.35">
      <c r="B105" s="24"/>
      <c r="C105" s="24"/>
      <c r="D105" s="32"/>
      <c r="E105" s="33" t="s">
        <v>51</v>
      </c>
      <c r="F105" s="34"/>
      <c r="G105" s="35"/>
      <c r="H105" s="36">
        <f>H102-H98</f>
        <v>-13.213470579120905</v>
      </c>
    </row>
    <row r="106" spans="2:8" x14ac:dyDescent="0.3">
      <c r="B106" s="13"/>
      <c r="C106" s="37"/>
      <c r="D106" s="37"/>
      <c r="E106" s="38"/>
      <c r="F106" s="38"/>
      <c r="G106" s="38"/>
      <c r="H106" s="1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3A6EB-E7B7-4354-BECC-65CD59EEC3BA}">
  <dimension ref="B13:R116"/>
  <sheetViews>
    <sheetView topLeftCell="A21" zoomScale="55" zoomScaleNormal="55" workbookViewId="0">
      <selection activeCell="B56" sqref="B56:D56"/>
    </sheetView>
  </sheetViews>
  <sheetFormatPr defaultRowHeight="14.4" x14ac:dyDescent="0.3"/>
  <cols>
    <col min="2" max="2" width="40.33203125" customWidth="1"/>
    <col min="3" max="3" width="11.44140625" customWidth="1"/>
    <col min="4" max="4" width="21.6640625" customWidth="1"/>
    <col min="5" max="5" width="18.5546875" customWidth="1"/>
    <col min="6" max="6" width="17.88671875" bestFit="1" customWidth="1"/>
    <col min="7" max="7" width="16.88671875" bestFit="1" customWidth="1"/>
    <col min="8" max="8" width="24.6640625" customWidth="1"/>
    <col min="9" max="9" width="18.6640625" customWidth="1"/>
    <col min="10" max="10" width="13.33203125" bestFit="1" customWidth="1"/>
    <col min="11" max="11" width="13.44140625" bestFit="1" customWidth="1"/>
    <col min="12" max="12" width="10.21875" bestFit="1" customWidth="1"/>
    <col min="13" max="13" width="11.44140625" bestFit="1" customWidth="1"/>
    <col min="15" max="15" width="9.88671875" customWidth="1"/>
    <col min="16" max="16" width="12.44140625" customWidth="1"/>
    <col min="18" max="18" width="11.44140625" bestFit="1" customWidth="1"/>
    <col min="23" max="23" width="11.44140625" bestFit="1" customWidth="1"/>
  </cols>
  <sheetData>
    <row r="13" spans="2:18" x14ac:dyDescent="0.3">
      <c r="B13" s="49" t="s">
        <v>64</v>
      </c>
      <c r="C13" s="50"/>
      <c r="D13" s="50"/>
      <c r="E13" s="50" t="s">
        <v>3</v>
      </c>
      <c r="F13" s="50" t="s">
        <v>4</v>
      </c>
      <c r="G13" s="50" t="s">
        <v>2</v>
      </c>
      <c r="H13" s="50" t="s">
        <v>14</v>
      </c>
      <c r="I13" s="50" t="s">
        <v>88</v>
      </c>
      <c r="J13" s="50" t="s">
        <v>89</v>
      </c>
      <c r="K13" s="50" t="s">
        <v>85</v>
      </c>
      <c r="R13" s="138"/>
    </row>
    <row r="14" spans="2:18" x14ac:dyDescent="0.3">
      <c r="B14" s="50"/>
      <c r="C14" s="51"/>
      <c r="D14" s="56"/>
      <c r="E14" s="1"/>
      <c r="F14" s="1"/>
      <c r="G14" s="63"/>
      <c r="H14" s="1"/>
      <c r="I14" s="57"/>
      <c r="J14" s="1"/>
      <c r="K14" s="1"/>
    </row>
    <row r="15" spans="2:18" x14ac:dyDescent="0.3">
      <c r="B15" s="50" t="s">
        <v>52</v>
      </c>
      <c r="C15" s="51"/>
      <c r="D15" s="62"/>
      <c r="E15" s="12">
        <v>9</v>
      </c>
      <c r="F15" s="58">
        <v>3.85</v>
      </c>
      <c r="G15" s="59">
        <v>0</v>
      </c>
      <c r="H15" s="60">
        <f>E15*F15</f>
        <v>34.65</v>
      </c>
      <c r="I15" s="61"/>
      <c r="J15" s="12"/>
      <c r="K15" s="55">
        <f>H15*J$58</f>
        <v>5613.3</v>
      </c>
    </row>
    <row r="16" spans="2:18" x14ac:dyDescent="0.3">
      <c r="B16" s="50" t="s">
        <v>53</v>
      </c>
      <c r="C16" s="53"/>
      <c r="D16" s="62"/>
      <c r="E16" s="12">
        <v>9</v>
      </c>
      <c r="F16" s="58">
        <v>3.85</v>
      </c>
      <c r="G16" s="59">
        <v>0</v>
      </c>
      <c r="H16" s="60">
        <f>E16*F16</f>
        <v>34.65</v>
      </c>
      <c r="I16" s="69"/>
      <c r="J16" s="12"/>
      <c r="K16" s="55">
        <f t="shared" ref="K16:K18" si="0">H16*J$58</f>
        <v>5613.3</v>
      </c>
    </row>
    <row r="17" spans="2:11" x14ac:dyDescent="0.3">
      <c r="B17" s="50" t="s">
        <v>54</v>
      </c>
      <c r="C17" s="54"/>
      <c r="D17" s="62"/>
      <c r="E17" s="12">
        <v>9</v>
      </c>
      <c r="F17" s="58">
        <v>3.85</v>
      </c>
      <c r="G17" s="59">
        <v>0</v>
      </c>
      <c r="H17" s="60">
        <f>E17*F17</f>
        <v>34.65</v>
      </c>
      <c r="I17" s="69"/>
      <c r="J17" s="12"/>
      <c r="K17" s="55">
        <f t="shared" si="0"/>
        <v>5613.3</v>
      </c>
    </row>
    <row r="18" spans="2:11" x14ac:dyDescent="0.3">
      <c r="B18" s="50" t="s">
        <v>55</v>
      </c>
      <c r="C18" s="51"/>
      <c r="D18" s="62"/>
      <c r="E18" s="12">
        <v>9</v>
      </c>
      <c r="F18" s="58">
        <v>3.85</v>
      </c>
      <c r="G18" s="59">
        <v>0</v>
      </c>
      <c r="H18" s="60">
        <f>E18*F18</f>
        <v>34.65</v>
      </c>
      <c r="I18" s="69"/>
      <c r="J18" s="12"/>
      <c r="K18" s="55">
        <f t="shared" si="0"/>
        <v>5613.3</v>
      </c>
    </row>
    <row r="19" spans="2:11" x14ac:dyDescent="0.3">
      <c r="B19" s="50" t="s">
        <v>59</v>
      </c>
      <c r="C19" s="51"/>
      <c r="D19" s="55"/>
      <c r="E19" s="12">
        <v>9</v>
      </c>
      <c r="F19" s="58">
        <v>0</v>
      </c>
      <c r="G19" s="59">
        <v>9</v>
      </c>
      <c r="H19" s="12">
        <f>E19*G19</f>
        <v>81</v>
      </c>
      <c r="I19" s="55">
        <f>H19*J67</f>
        <v>15390</v>
      </c>
      <c r="J19" s="12"/>
      <c r="K19" s="12"/>
    </row>
    <row r="20" spans="2:11" x14ac:dyDescent="0.3">
      <c r="B20" s="50" t="s">
        <v>60</v>
      </c>
      <c r="C20" s="51"/>
      <c r="D20" s="55"/>
      <c r="E20" s="12">
        <v>9</v>
      </c>
      <c r="F20" s="58">
        <v>0</v>
      </c>
      <c r="G20" s="59">
        <v>9</v>
      </c>
      <c r="H20" s="12">
        <f>E20*G20</f>
        <v>81</v>
      </c>
      <c r="I20" s="55">
        <f>H20*J76</f>
        <v>13365</v>
      </c>
      <c r="J20" s="12"/>
      <c r="K20" s="12"/>
    </row>
    <row r="21" spans="2:11" x14ac:dyDescent="0.3">
      <c r="B21" s="50" t="s">
        <v>63</v>
      </c>
      <c r="C21" s="51"/>
      <c r="D21" s="55"/>
      <c r="E21" s="12"/>
      <c r="F21" s="12"/>
      <c r="G21" s="12"/>
      <c r="H21" s="12"/>
      <c r="I21" s="52">
        <v>5000</v>
      </c>
      <c r="J21" s="12"/>
      <c r="K21" s="12"/>
    </row>
    <row r="22" spans="2:11" x14ac:dyDescent="0.3">
      <c r="B22" s="50" t="s">
        <v>76</v>
      </c>
      <c r="C22" s="51"/>
      <c r="D22" s="12"/>
      <c r="E22" s="52"/>
      <c r="F22" s="12"/>
      <c r="G22" s="12"/>
      <c r="H22" s="66">
        <f>H93</f>
        <v>32.676079999999999</v>
      </c>
      <c r="I22" s="52"/>
      <c r="J22" s="55">
        <f>H22+(2*2.4)*J58</f>
        <v>810.27607999999998</v>
      </c>
      <c r="K22" s="12"/>
    </row>
    <row r="23" spans="2:11" x14ac:dyDescent="0.3">
      <c r="B23" s="50" t="s">
        <v>208</v>
      </c>
      <c r="C23" s="51"/>
      <c r="D23" s="55"/>
      <c r="E23" s="12"/>
      <c r="F23" s="52"/>
      <c r="G23" s="52"/>
      <c r="H23" s="12"/>
      <c r="I23" s="52">
        <v>1000</v>
      </c>
      <c r="J23" s="12"/>
      <c r="K23" s="12"/>
    </row>
    <row r="24" spans="2:11" x14ac:dyDescent="0.3">
      <c r="B24" s="50" t="s">
        <v>204</v>
      </c>
      <c r="C24" s="51"/>
      <c r="D24" s="12"/>
      <c r="E24" s="12"/>
      <c r="F24" s="12"/>
      <c r="G24" s="12"/>
      <c r="H24" s="12"/>
      <c r="I24" s="52">
        <f>H103</f>
        <v>6247.8904000000002</v>
      </c>
      <c r="J24" s="12"/>
      <c r="K24" s="55"/>
    </row>
    <row r="25" spans="2:11" x14ac:dyDescent="0.3">
      <c r="B25" s="50"/>
      <c r="C25" s="51"/>
      <c r="D25" s="12"/>
      <c r="E25" s="12"/>
      <c r="F25" s="12"/>
      <c r="G25" s="12"/>
      <c r="H25" s="12"/>
      <c r="I25" s="52"/>
      <c r="J25" s="12"/>
      <c r="K25" s="55">
        <f>SUM(I15:I24)+SUM(K15:K24)-SUM(J15:J24)</f>
        <v>62645.814319999998</v>
      </c>
    </row>
    <row r="27" spans="2:11" x14ac:dyDescent="0.3">
      <c r="B27" s="49" t="s">
        <v>120</v>
      </c>
      <c r="C27" s="50"/>
      <c r="D27" s="50" t="s">
        <v>14</v>
      </c>
      <c r="E27" s="50" t="s">
        <v>126</v>
      </c>
      <c r="F27" s="50" t="s">
        <v>110</v>
      </c>
      <c r="G27" s="50" t="s">
        <v>109</v>
      </c>
      <c r="H27" s="50" t="s">
        <v>209</v>
      </c>
      <c r="I27" s="50" t="s">
        <v>127</v>
      </c>
    </row>
    <row r="28" spans="2:11" x14ac:dyDescent="0.3">
      <c r="B28" s="50"/>
      <c r="C28" s="51"/>
      <c r="D28" s="56"/>
      <c r="E28" s="1"/>
      <c r="F28" s="1"/>
      <c r="G28" s="80">
        <v>40</v>
      </c>
      <c r="H28" s="1"/>
      <c r="I28" s="1"/>
    </row>
    <row r="29" spans="2:11" x14ac:dyDescent="0.3">
      <c r="B29" s="50" t="s">
        <v>121</v>
      </c>
      <c r="C29" s="51"/>
      <c r="D29" s="75">
        <f>SUM(H15:H18)</f>
        <v>138.6</v>
      </c>
      <c r="E29" s="81">
        <f>0.3</f>
        <v>0.3</v>
      </c>
      <c r="F29" s="79">
        <f t="shared" ref="F29:F36" si="1">E29*D29</f>
        <v>41.58</v>
      </c>
      <c r="G29" s="52">
        <f>F29*G$28</f>
        <v>1663.1999999999998</v>
      </c>
      <c r="H29" s="12"/>
      <c r="I29" s="12"/>
    </row>
    <row r="30" spans="2:11" x14ac:dyDescent="0.3">
      <c r="B30" s="50" t="s">
        <v>59</v>
      </c>
      <c r="C30" s="53"/>
      <c r="D30" s="75">
        <f>H19</f>
        <v>81</v>
      </c>
      <c r="E30" s="81">
        <f>0.5</f>
        <v>0.5</v>
      </c>
      <c r="F30" s="79">
        <f t="shared" si="1"/>
        <v>40.5</v>
      </c>
      <c r="G30" s="52">
        <f t="shared" ref="G30:G35" si="2">F30*G$28</f>
        <v>1620</v>
      </c>
      <c r="H30" s="12"/>
      <c r="I30" s="12"/>
    </row>
    <row r="31" spans="2:11" x14ac:dyDescent="0.3">
      <c r="B31" s="50" t="s">
        <v>60</v>
      </c>
      <c r="C31" s="54"/>
      <c r="D31" s="75">
        <f>H20</f>
        <v>81</v>
      </c>
      <c r="E31" s="81">
        <f>0.4</f>
        <v>0.4</v>
      </c>
      <c r="F31" s="79">
        <f t="shared" si="1"/>
        <v>32.4</v>
      </c>
      <c r="G31" s="52">
        <f t="shared" si="2"/>
        <v>1296</v>
      </c>
      <c r="H31" s="12"/>
      <c r="I31" s="12"/>
    </row>
    <row r="32" spans="2:11" x14ac:dyDescent="0.3">
      <c r="B32" s="50" t="s">
        <v>63</v>
      </c>
      <c r="C32" s="51"/>
      <c r="D32" s="83">
        <v>1</v>
      </c>
      <c r="E32" s="82">
        <v>15</v>
      </c>
      <c r="F32" s="79">
        <f t="shared" si="1"/>
        <v>15</v>
      </c>
      <c r="G32" s="52">
        <f t="shared" si="2"/>
        <v>600</v>
      </c>
      <c r="H32" s="12"/>
      <c r="I32" s="12"/>
    </row>
    <row r="33" spans="2:11" x14ac:dyDescent="0.3">
      <c r="B33" s="50" t="s">
        <v>122</v>
      </c>
      <c r="C33" s="51"/>
      <c r="D33" s="83">
        <v>6</v>
      </c>
      <c r="E33" s="81">
        <v>1.5</v>
      </c>
      <c r="F33" s="79">
        <f t="shared" si="1"/>
        <v>9</v>
      </c>
      <c r="G33" s="52">
        <f t="shared" si="2"/>
        <v>360</v>
      </c>
      <c r="H33" s="12"/>
      <c r="I33" s="12"/>
    </row>
    <row r="34" spans="2:11" x14ac:dyDescent="0.3">
      <c r="B34" s="50" t="s">
        <v>123</v>
      </c>
      <c r="C34" s="51"/>
      <c r="D34" s="83">
        <v>2</v>
      </c>
      <c r="E34" s="81">
        <v>1.5</v>
      </c>
      <c r="F34" s="79">
        <f t="shared" si="1"/>
        <v>3</v>
      </c>
      <c r="G34" s="52">
        <f t="shared" si="2"/>
        <v>120</v>
      </c>
      <c r="H34" s="12"/>
      <c r="I34" s="55"/>
    </row>
    <row r="35" spans="2:11" x14ac:dyDescent="0.3">
      <c r="B35" s="50" t="s">
        <v>124</v>
      </c>
      <c r="C35" s="51"/>
      <c r="D35" s="83">
        <v>6</v>
      </c>
      <c r="E35" s="81">
        <f>0.2</f>
        <v>0.2</v>
      </c>
      <c r="F35" s="79">
        <f t="shared" si="1"/>
        <v>1.2000000000000002</v>
      </c>
      <c r="G35" s="52">
        <f t="shared" si="2"/>
        <v>48.000000000000007</v>
      </c>
      <c r="H35" s="12"/>
      <c r="I35" s="55"/>
    </row>
    <row r="36" spans="2:11" x14ac:dyDescent="0.3">
      <c r="B36" s="50" t="s">
        <v>125</v>
      </c>
      <c r="C36" s="51"/>
      <c r="D36" s="83">
        <v>2</v>
      </c>
      <c r="E36" s="81">
        <v>1.5</v>
      </c>
      <c r="F36" s="79">
        <f t="shared" si="1"/>
        <v>3</v>
      </c>
      <c r="G36" s="52">
        <f>F36*G$28</f>
        <v>120</v>
      </c>
      <c r="H36" s="12"/>
      <c r="I36" s="55"/>
    </row>
    <row r="37" spans="2:11" x14ac:dyDescent="0.3">
      <c r="B37" s="50"/>
      <c r="C37" s="51"/>
      <c r="D37" s="83"/>
      <c r="E37" s="81"/>
      <c r="F37" s="79"/>
      <c r="G37" s="52"/>
      <c r="H37" s="12"/>
      <c r="I37" s="55">
        <f>SUM(G29:G36)</f>
        <v>5827.2</v>
      </c>
      <c r="K37" s="45"/>
    </row>
    <row r="38" spans="2:11" x14ac:dyDescent="0.3">
      <c r="K38" s="45"/>
    </row>
    <row r="39" spans="2:11" x14ac:dyDescent="0.3">
      <c r="I39" s="50" t="s">
        <v>127</v>
      </c>
    </row>
    <row r="40" spans="2:11" x14ac:dyDescent="0.3">
      <c r="I40" s="57">
        <f>K25+I37</f>
        <v>68473.014320000002</v>
      </c>
    </row>
    <row r="43" spans="2:11" ht="15" thickBot="1" x14ac:dyDescent="0.35"/>
    <row r="44" spans="2:11" ht="26.4" thickBot="1" x14ac:dyDescent="0.55000000000000004">
      <c r="B44" s="84" t="s">
        <v>128</v>
      </c>
      <c r="C44" s="85"/>
      <c r="D44" s="85"/>
      <c r="E44" s="85"/>
      <c r="F44" s="85"/>
      <c r="G44" s="85"/>
      <c r="H44" s="85"/>
      <c r="I44" s="85"/>
      <c r="J44" s="86"/>
    </row>
    <row r="48" spans="2:11" x14ac:dyDescent="0.3">
      <c r="K48" s="45"/>
    </row>
    <row r="49" spans="2:10" x14ac:dyDescent="0.3">
      <c r="B49" s="49" t="s">
        <v>90</v>
      </c>
      <c r="C49" s="50"/>
      <c r="D49" s="50" t="s">
        <v>84</v>
      </c>
      <c r="E49" s="50" t="s">
        <v>206</v>
      </c>
      <c r="F49" s="50" t="s">
        <v>205</v>
      </c>
      <c r="G49" s="50"/>
      <c r="H49" s="50"/>
      <c r="I49" s="50"/>
      <c r="J49" s="50" t="s">
        <v>86</v>
      </c>
    </row>
    <row r="50" spans="2:10" x14ac:dyDescent="0.3">
      <c r="B50" s="50"/>
      <c r="C50" s="51"/>
      <c r="D50" s="56"/>
      <c r="E50" s="1"/>
      <c r="F50" s="1"/>
      <c r="G50" s="63"/>
      <c r="H50" s="1"/>
      <c r="I50" s="57"/>
      <c r="J50" s="1"/>
    </row>
    <row r="51" spans="2:10" x14ac:dyDescent="0.3">
      <c r="B51" s="140" t="s">
        <v>203</v>
      </c>
      <c r="C51" s="51"/>
      <c r="D51" s="62"/>
      <c r="E51" s="59">
        <v>3</v>
      </c>
      <c r="F51" s="52">
        <v>1500</v>
      </c>
      <c r="G51" s="52"/>
      <c r="H51" s="69"/>
      <c r="I51" s="69"/>
      <c r="J51" s="52"/>
    </row>
    <row r="52" spans="2:10" x14ac:dyDescent="0.3">
      <c r="B52" s="50" t="s">
        <v>81</v>
      </c>
      <c r="C52" s="54"/>
      <c r="D52" s="62">
        <v>5</v>
      </c>
      <c r="E52" s="12"/>
      <c r="F52" s="58"/>
      <c r="G52" s="59"/>
      <c r="H52" s="60"/>
      <c r="I52" s="61"/>
      <c r="J52" s="12"/>
    </row>
    <row r="53" spans="2:10" x14ac:dyDescent="0.3">
      <c r="B53" s="141" t="s">
        <v>94</v>
      </c>
      <c r="C53" s="51"/>
      <c r="D53" s="62">
        <v>60</v>
      </c>
      <c r="E53" s="58"/>
      <c r="F53" s="52"/>
      <c r="G53" s="52"/>
      <c r="H53" s="69"/>
      <c r="I53" s="69"/>
      <c r="J53" s="52"/>
    </row>
    <row r="54" spans="2:10" x14ac:dyDescent="0.3">
      <c r="B54" s="50" t="s">
        <v>207</v>
      </c>
      <c r="C54" s="51"/>
      <c r="D54" s="62">
        <v>40</v>
      </c>
      <c r="E54" s="12"/>
      <c r="F54" s="58"/>
      <c r="G54" s="59"/>
      <c r="H54" s="12"/>
      <c r="I54" s="12"/>
      <c r="J54" s="12"/>
    </row>
    <row r="55" spans="2:10" x14ac:dyDescent="0.3">
      <c r="B55" s="50" t="s">
        <v>83</v>
      </c>
      <c r="C55" s="51"/>
      <c r="D55" s="52">
        <v>5</v>
      </c>
      <c r="E55" s="12"/>
      <c r="F55" s="58"/>
      <c r="G55" s="59"/>
      <c r="H55" s="12"/>
      <c r="I55" s="12"/>
      <c r="J55" s="12"/>
    </row>
    <row r="56" spans="2:10" x14ac:dyDescent="0.3">
      <c r="B56" s="50" t="s">
        <v>207</v>
      </c>
      <c r="C56" s="51"/>
      <c r="D56" s="62">
        <v>40</v>
      </c>
      <c r="E56" s="12"/>
      <c r="F56" s="12"/>
      <c r="G56" s="12"/>
      <c r="H56" s="12"/>
      <c r="I56" s="12"/>
      <c r="J56" s="12"/>
    </row>
    <row r="57" spans="2:10" x14ac:dyDescent="0.3">
      <c r="B57" s="50" t="s">
        <v>102</v>
      </c>
      <c r="C57" s="51"/>
      <c r="D57" s="52">
        <v>12</v>
      </c>
      <c r="E57" s="52"/>
      <c r="F57" s="12"/>
      <c r="G57" s="12"/>
      <c r="H57" s="12"/>
      <c r="I57" s="12"/>
      <c r="J57" s="55"/>
    </row>
    <row r="58" spans="2:10" x14ac:dyDescent="0.3">
      <c r="B58" s="50"/>
      <c r="C58" s="51"/>
      <c r="D58" s="52"/>
      <c r="E58" s="52"/>
      <c r="F58" s="12"/>
      <c r="G58" s="12"/>
      <c r="H58" s="12"/>
      <c r="I58" s="12"/>
      <c r="J58" s="55">
        <f>SUM(D52:D57)</f>
        <v>162</v>
      </c>
    </row>
    <row r="59" spans="2:10" x14ac:dyDescent="0.3">
      <c r="B59" s="45"/>
      <c r="C59" s="45"/>
      <c r="D59" s="67"/>
      <c r="E59" s="45"/>
      <c r="F59" s="68"/>
      <c r="G59" s="68"/>
      <c r="H59" s="45"/>
      <c r="I59" s="45"/>
      <c r="J59" s="45"/>
    </row>
    <row r="60" spans="2:10" x14ac:dyDescent="0.3">
      <c r="B60" s="49" t="s">
        <v>91</v>
      </c>
      <c r="C60" s="50"/>
      <c r="D60" s="50" t="s">
        <v>84</v>
      </c>
      <c r="E60" s="50"/>
      <c r="F60" s="50"/>
      <c r="G60" s="50"/>
      <c r="H60" s="50"/>
      <c r="I60" s="50"/>
      <c r="J60" s="50" t="s">
        <v>86</v>
      </c>
    </row>
    <row r="61" spans="2:10" x14ac:dyDescent="0.3">
      <c r="B61" s="50"/>
      <c r="C61" s="51"/>
      <c r="D61" s="56"/>
      <c r="E61" s="1"/>
      <c r="F61" s="1"/>
      <c r="G61" s="63"/>
      <c r="H61" s="1"/>
      <c r="I61" s="57"/>
      <c r="J61" s="1"/>
    </row>
    <row r="62" spans="2:10" x14ac:dyDescent="0.3">
      <c r="B62" s="50" t="s">
        <v>99</v>
      </c>
      <c r="C62" s="53"/>
      <c r="D62" s="62">
        <v>40</v>
      </c>
      <c r="E62" s="12"/>
      <c r="F62" s="58"/>
      <c r="G62" s="59"/>
      <c r="H62" s="60"/>
      <c r="I62" s="61"/>
      <c r="J62" s="12"/>
    </row>
    <row r="63" spans="2:10" x14ac:dyDescent="0.3">
      <c r="B63" s="50" t="s">
        <v>81</v>
      </c>
      <c r="C63" s="54"/>
      <c r="D63" s="62">
        <v>5</v>
      </c>
      <c r="E63" s="12"/>
      <c r="F63" s="58"/>
      <c r="G63" s="59"/>
      <c r="H63" s="60"/>
      <c r="I63" s="61"/>
      <c r="J63" s="12"/>
    </row>
    <row r="64" spans="2:10" x14ac:dyDescent="0.3">
      <c r="B64" s="50" t="s">
        <v>94</v>
      </c>
      <c r="C64" s="51"/>
      <c r="D64" s="62">
        <v>60</v>
      </c>
      <c r="E64" s="12"/>
      <c r="F64" s="58"/>
      <c r="G64" s="59"/>
      <c r="H64" s="60"/>
      <c r="I64" s="61"/>
      <c r="J64" s="12"/>
    </row>
    <row r="65" spans="2:10" x14ac:dyDescent="0.3">
      <c r="B65" s="50" t="s">
        <v>207</v>
      </c>
      <c r="C65" s="51"/>
      <c r="D65" s="62">
        <v>40</v>
      </c>
      <c r="E65" s="12"/>
      <c r="F65" s="58"/>
      <c r="G65" s="59"/>
      <c r="H65" s="12"/>
      <c r="I65" s="12"/>
      <c r="J65" s="12"/>
    </row>
    <row r="66" spans="2:10" x14ac:dyDescent="0.3">
      <c r="B66" s="50" t="s">
        <v>83</v>
      </c>
      <c r="C66" s="51"/>
      <c r="D66" s="52">
        <v>5</v>
      </c>
      <c r="E66" s="12"/>
      <c r="F66" s="58"/>
      <c r="G66" s="59"/>
      <c r="H66" s="12"/>
      <c r="I66" s="12"/>
      <c r="J66" s="12"/>
    </row>
    <row r="67" spans="2:10" x14ac:dyDescent="0.3">
      <c r="B67" s="50" t="s">
        <v>207</v>
      </c>
      <c r="C67" s="51"/>
      <c r="D67" s="62">
        <v>40</v>
      </c>
      <c r="E67" s="12"/>
      <c r="F67" s="12"/>
      <c r="G67" s="12"/>
      <c r="H67" s="12"/>
      <c r="I67" s="12"/>
      <c r="J67" s="55">
        <f>SUM(D62:D67)</f>
        <v>190</v>
      </c>
    </row>
    <row r="69" spans="2:10" x14ac:dyDescent="0.3">
      <c r="B69" s="49" t="s">
        <v>96</v>
      </c>
      <c r="C69" s="50"/>
      <c r="D69" s="50" t="s">
        <v>84</v>
      </c>
      <c r="E69" s="50"/>
      <c r="F69" s="50"/>
      <c r="G69" s="50"/>
      <c r="H69" s="50"/>
      <c r="I69" s="50"/>
      <c r="J69" s="50" t="s">
        <v>86</v>
      </c>
    </row>
    <row r="70" spans="2:10" x14ac:dyDescent="0.3">
      <c r="B70" s="50"/>
      <c r="C70" s="51"/>
      <c r="D70" s="56"/>
      <c r="E70" s="1"/>
      <c r="F70" s="1"/>
      <c r="G70" s="63"/>
      <c r="H70" s="1"/>
      <c r="I70" s="57"/>
      <c r="J70" s="1"/>
    </row>
    <row r="71" spans="2:10" x14ac:dyDescent="0.3">
      <c r="B71" s="50" t="s">
        <v>99</v>
      </c>
      <c r="C71" s="51"/>
      <c r="D71" s="62">
        <v>40</v>
      </c>
      <c r="E71" s="12"/>
      <c r="F71" s="58"/>
      <c r="G71" s="59"/>
      <c r="H71" s="60"/>
      <c r="I71" s="61"/>
      <c r="J71" s="12"/>
    </row>
    <row r="72" spans="2:10" x14ac:dyDescent="0.3">
      <c r="B72" s="50" t="s">
        <v>97</v>
      </c>
      <c r="C72" s="53"/>
      <c r="D72" s="62">
        <v>15</v>
      </c>
      <c r="E72" s="12"/>
      <c r="F72" s="58"/>
      <c r="G72" s="59"/>
      <c r="H72" s="60"/>
      <c r="I72" s="61"/>
      <c r="J72" s="12"/>
    </row>
    <row r="73" spans="2:10" x14ac:dyDescent="0.3">
      <c r="B73" s="50" t="s">
        <v>94</v>
      </c>
      <c r="C73" s="54"/>
      <c r="D73" s="62">
        <v>60</v>
      </c>
      <c r="E73" s="12"/>
      <c r="F73" s="58"/>
      <c r="G73" s="59"/>
      <c r="H73" s="60"/>
      <c r="I73" s="61"/>
      <c r="J73" s="12"/>
    </row>
    <row r="74" spans="2:10" x14ac:dyDescent="0.3">
      <c r="B74" s="50" t="s">
        <v>99</v>
      </c>
      <c r="C74" s="51"/>
      <c r="D74" s="62">
        <v>40</v>
      </c>
      <c r="E74" s="12"/>
      <c r="F74" s="58"/>
      <c r="G74" s="59"/>
      <c r="H74" s="60"/>
      <c r="I74" s="61"/>
      <c r="J74" s="12"/>
    </row>
    <row r="75" spans="2:10" x14ac:dyDescent="0.3">
      <c r="B75" s="50" t="s">
        <v>98</v>
      </c>
      <c r="C75" s="51"/>
      <c r="D75" s="62">
        <v>10</v>
      </c>
      <c r="E75" s="12"/>
      <c r="F75" s="58"/>
      <c r="G75" s="59"/>
      <c r="H75" s="12"/>
      <c r="I75" s="12"/>
      <c r="J75" s="12"/>
    </row>
    <row r="76" spans="2:10" x14ac:dyDescent="0.3">
      <c r="B76" s="50"/>
      <c r="C76" s="51"/>
      <c r="D76" s="12"/>
      <c r="E76" s="52"/>
      <c r="F76" s="12"/>
      <c r="G76" s="12"/>
      <c r="H76" s="12"/>
      <c r="I76" s="12"/>
      <c r="J76" s="55">
        <f>SUM(D71:D76)</f>
        <v>165</v>
      </c>
    </row>
    <row r="81" spans="2:8" x14ac:dyDescent="0.3">
      <c r="B81" t="s">
        <v>100</v>
      </c>
    </row>
    <row r="82" spans="2:8" x14ac:dyDescent="0.3">
      <c r="B82" s="70" t="s">
        <v>101</v>
      </c>
    </row>
    <row r="85" spans="2:8" x14ac:dyDescent="0.3">
      <c r="B85" s="2" t="s">
        <v>119</v>
      </c>
      <c r="C85" s="3"/>
      <c r="D85" s="4"/>
      <c r="E85" s="4"/>
      <c r="F85" s="4"/>
      <c r="G85" s="5"/>
    </row>
    <row r="86" spans="2:8" x14ac:dyDescent="0.3">
      <c r="B86" s="6" t="s">
        <v>15</v>
      </c>
      <c r="C86" s="7" t="s">
        <v>16</v>
      </c>
      <c r="D86" s="7" t="s">
        <v>17</v>
      </c>
      <c r="E86" s="7" t="s">
        <v>18</v>
      </c>
      <c r="F86" s="7" t="s">
        <v>19</v>
      </c>
      <c r="G86" s="48"/>
      <c r="H86" s="9" t="s">
        <v>20</v>
      </c>
    </row>
    <row r="87" spans="2:8" x14ac:dyDescent="0.3">
      <c r="B87" s="10" t="s">
        <v>77</v>
      </c>
      <c r="C87" s="10">
        <v>2</v>
      </c>
      <c r="D87" s="10">
        <v>5820</v>
      </c>
      <c r="E87" s="10">
        <v>1920</v>
      </c>
      <c r="F87" s="10"/>
      <c r="G87" s="10"/>
      <c r="H87" s="46">
        <f>(D87*E87*C87)/1000000</f>
        <v>22.348800000000001</v>
      </c>
    </row>
    <row r="88" spans="2:8" x14ac:dyDescent="0.3">
      <c r="B88" s="10" t="s">
        <v>118</v>
      </c>
      <c r="C88" s="10">
        <v>4</v>
      </c>
      <c r="D88" s="10">
        <v>1880</v>
      </c>
      <c r="E88" s="10">
        <v>1920</v>
      </c>
      <c r="F88" s="10"/>
      <c r="G88" s="10"/>
      <c r="H88" s="46">
        <f>(D88*E88*C88)/1000000</f>
        <v>14.4384</v>
      </c>
    </row>
    <row r="89" spans="2:8" x14ac:dyDescent="0.3">
      <c r="B89" s="10" t="s">
        <v>21</v>
      </c>
      <c r="C89" s="10">
        <v>0</v>
      </c>
      <c r="D89" s="10">
        <v>0</v>
      </c>
      <c r="E89" s="10">
        <v>0</v>
      </c>
      <c r="F89" s="10"/>
      <c r="G89" s="10"/>
      <c r="H89" s="46">
        <f>(D89*F89*C89)/1000000</f>
        <v>0</v>
      </c>
    </row>
    <row r="90" spans="2:8" x14ac:dyDescent="0.3">
      <c r="B90" s="10" t="s">
        <v>22</v>
      </c>
      <c r="C90" s="47">
        <f>(C87+C88)*2</f>
        <v>12</v>
      </c>
      <c r="D90" s="10">
        <f>E87</f>
        <v>1920</v>
      </c>
      <c r="E90" s="10">
        <v>114</v>
      </c>
      <c r="F90" s="10">
        <v>67</v>
      </c>
      <c r="G90" s="10"/>
      <c r="H90" s="46">
        <f>(D90*F90*C90)/1000000</f>
        <v>1.5436799999999999</v>
      </c>
    </row>
    <row r="91" spans="2:8" x14ac:dyDescent="0.3">
      <c r="B91" s="10" t="s">
        <v>23</v>
      </c>
      <c r="C91" s="47">
        <f>C87*2</f>
        <v>4</v>
      </c>
      <c r="D91" s="10">
        <f>D87</f>
        <v>5820</v>
      </c>
      <c r="E91" s="10">
        <v>114</v>
      </c>
      <c r="F91" s="10">
        <v>67</v>
      </c>
      <c r="G91" s="10"/>
      <c r="H91" s="46">
        <f>(D91*F91*C91)/1000000</f>
        <v>1.55976</v>
      </c>
    </row>
    <row r="92" spans="2:8" x14ac:dyDescent="0.3">
      <c r="B92" s="10" t="s">
        <v>23</v>
      </c>
      <c r="C92" s="47">
        <f>C88*2</f>
        <v>8</v>
      </c>
      <c r="D92" s="10">
        <f>D88</f>
        <v>1880</v>
      </c>
      <c r="E92" s="10">
        <v>114</v>
      </c>
      <c r="F92" s="10">
        <v>67</v>
      </c>
      <c r="G92" s="10"/>
      <c r="H92" s="46">
        <f>(D92*F92*C92)/1000000</f>
        <v>1.0076799999999999</v>
      </c>
    </row>
    <row r="93" spans="2:8" x14ac:dyDescent="0.3">
      <c r="B93" s="10" t="s">
        <v>24</v>
      </c>
      <c r="C93" s="10"/>
      <c r="D93" s="10"/>
      <c r="E93" s="10"/>
      <c r="F93" s="10"/>
      <c r="G93" s="10"/>
      <c r="H93" s="46">
        <f>(H87+H88)-SUM(H89:H92)</f>
        <v>32.676079999999999</v>
      </c>
    </row>
    <row r="94" spans="2:8" x14ac:dyDescent="0.3">
      <c r="B94" s="11"/>
      <c r="C94" s="11"/>
      <c r="D94" s="11"/>
      <c r="E94" s="11"/>
      <c r="F94" s="11"/>
      <c r="G94" s="11"/>
      <c r="H94" s="11"/>
    </row>
    <row r="95" spans="2:8" x14ac:dyDescent="0.3">
      <c r="B95" s="10" t="s">
        <v>78</v>
      </c>
      <c r="C95" s="12">
        <v>1</v>
      </c>
      <c r="D95" s="12"/>
      <c r="E95" s="12"/>
      <c r="F95" s="12"/>
      <c r="G95" s="12"/>
      <c r="H95" s="12"/>
    </row>
    <row r="96" spans="2:8" x14ac:dyDescent="0.3">
      <c r="B96" s="13"/>
      <c r="C96" s="13"/>
      <c r="D96" s="13"/>
      <c r="E96" s="13"/>
      <c r="F96" s="13"/>
      <c r="G96" s="13"/>
      <c r="H96" s="13"/>
    </row>
    <row r="97" spans="2:8" x14ac:dyDescent="0.3">
      <c r="B97" s="14" t="s">
        <v>26</v>
      </c>
      <c r="C97" s="14" t="s">
        <v>27</v>
      </c>
      <c r="D97" s="14" t="s">
        <v>28</v>
      </c>
      <c r="E97" s="14" t="s">
        <v>29</v>
      </c>
      <c r="F97" s="14" t="s">
        <v>30</v>
      </c>
      <c r="G97" s="15" t="s">
        <v>31</v>
      </c>
      <c r="H97" s="14" t="s">
        <v>32</v>
      </c>
    </row>
    <row r="98" spans="2:8" x14ac:dyDescent="0.3">
      <c r="B98" s="16" t="s">
        <v>33</v>
      </c>
      <c r="C98" s="17"/>
      <c r="D98" s="17"/>
      <c r="E98" s="17"/>
      <c r="F98" s="18">
        <v>16</v>
      </c>
      <c r="G98" s="19">
        <v>125</v>
      </c>
      <c r="H98" s="20">
        <f>F98*G98*C95</f>
        <v>2000</v>
      </c>
    </row>
    <row r="99" spans="2:8" x14ac:dyDescent="0.3">
      <c r="B99" s="10" t="s">
        <v>49</v>
      </c>
      <c r="C99" s="21">
        <v>50</v>
      </c>
      <c r="D99" s="21">
        <f>75/20</f>
        <v>3.75</v>
      </c>
      <c r="E99" s="22">
        <f>C99*H93*C95</f>
        <v>1633.8039999999999</v>
      </c>
      <c r="F99" s="8"/>
      <c r="G99" s="8"/>
      <c r="H99" s="23">
        <f>E99+H98</f>
        <v>3633.8040000000001</v>
      </c>
    </row>
    <row r="100" spans="2:8" x14ac:dyDescent="0.3">
      <c r="B100" s="10" t="s">
        <v>34</v>
      </c>
      <c r="C100" s="21">
        <v>115</v>
      </c>
      <c r="D100" s="21">
        <f>140/20</f>
        <v>7</v>
      </c>
      <c r="E100" s="22">
        <f>C100*H93*C95</f>
        <v>3757.7491999999997</v>
      </c>
      <c r="F100" s="8"/>
      <c r="G100" s="8"/>
      <c r="H100" s="23">
        <f>E100+H98</f>
        <v>5757.7492000000002</v>
      </c>
    </row>
    <row r="101" spans="2:8" x14ac:dyDescent="0.3">
      <c r="B101" s="10" t="s">
        <v>35</v>
      </c>
      <c r="C101" s="21">
        <v>120</v>
      </c>
      <c r="D101" s="21">
        <f>180/20</f>
        <v>9</v>
      </c>
      <c r="E101" s="22">
        <f>C101*H93*C95</f>
        <v>3921.1295999999998</v>
      </c>
      <c r="F101" s="8"/>
      <c r="G101" s="8"/>
      <c r="H101" s="23">
        <f>E101+H98</f>
        <v>5921.1296000000002</v>
      </c>
    </row>
    <row r="102" spans="2:8" x14ac:dyDescent="0.3">
      <c r="B102" s="10" t="s">
        <v>36</v>
      </c>
      <c r="C102" s="21">
        <v>125</v>
      </c>
      <c r="D102" s="21">
        <f>220/20</f>
        <v>11</v>
      </c>
      <c r="E102" s="22">
        <f>C102*H93*C95</f>
        <v>4084.5099999999998</v>
      </c>
      <c r="F102" s="8"/>
      <c r="G102" s="8"/>
      <c r="H102" s="23">
        <f>E102+H98</f>
        <v>6084.51</v>
      </c>
    </row>
    <row r="103" spans="2:8" x14ac:dyDescent="0.3">
      <c r="B103" s="10" t="s">
        <v>37</v>
      </c>
      <c r="C103" s="21">
        <v>130</v>
      </c>
      <c r="D103" s="21">
        <f>260/20</f>
        <v>13</v>
      </c>
      <c r="E103" s="22">
        <f>C103*H93*C95</f>
        <v>4247.8904000000002</v>
      </c>
      <c r="F103" s="8"/>
      <c r="G103" s="8"/>
      <c r="H103" s="23">
        <f>E103+H98</f>
        <v>6247.8904000000002</v>
      </c>
    </row>
    <row r="104" spans="2:8" x14ac:dyDescent="0.3">
      <c r="B104" s="10" t="s">
        <v>38</v>
      </c>
      <c r="C104" s="21">
        <v>170</v>
      </c>
      <c r="D104" s="21">
        <f>280/20</f>
        <v>14</v>
      </c>
      <c r="E104" s="22">
        <f>C104*H93*C95</f>
        <v>5554.9335999999994</v>
      </c>
      <c r="F104" s="8"/>
      <c r="G104" s="8"/>
      <c r="H104" s="23">
        <f>E104+H98</f>
        <v>7554.9335999999994</v>
      </c>
    </row>
    <row r="105" spans="2:8" x14ac:dyDescent="0.3">
      <c r="B105" s="14" t="s">
        <v>39</v>
      </c>
      <c r="C105" s="8"/>
      <c r="D105" s="24"/>
      <c r="E105" s="14" t="s">
        <v>40</v>
      </c>
      <c r="F105" s="24"/>
      <c r="G105" s="24"/>
      <c r="H105" s="25">
        <f>H104-H100</f>
        <v>1797.1843999999992</v>
      </c>
    </row>
    <row r="106" spans="2:8" x14ac:dyDescent="0.3">
      <c r="B106" s="13"/>
      <c r="C106" s="13"/>
      <c r="D106" s="13"/>
      <c r="E106" s="13"/>
      <c r="F106" s="13"/>
      <c r="G106" s="13"/>
      <c r="H106" s="13"/>
    </row>
    <row r="107" spans="2:8" x14ac:dyDescent="0.3">
      <c r="B107" s="14" t="s">
        <v>26</v>
      </c>
      <c r="C107" s="14"/>
      <c r="D107" s="25" t="s">
        <v>41</v>
      </c>
      <c r="E107" s="14" t="s">
        <v>40</v>
      </c>
      <c r="F107" s="24"/>
      <c r="G107" s="24"/>
      <c r="H107" s="24" t="s">
        <v>42</v>
      </c>
    </row>
    <row r="108" spans="2:8" x14ac:dyDescent="0.3">
      <c r="B108" s="10" t="s">
        <v>49</v>
      </c>
      <c r="C108" s="26"/>
      <c r="D108" s="27">
        <f t="shared" ref="D108:D113" si="3">H99</f>
        <v>3633.8040000000001</v>
      </c>
      <c r="E108" s="28">
        <f>H93*D99*C95</f>
        <v>122.53529999999999</v>
      </c>
      <c r="F108" s="24"/>
      <c r="G108" s="24"/>
      <c r="H108" s="29">
        <f>D108/E108</f>
        <v>29.655160594538881</v>
      </c>
    </row>
    <row r="109" spans="2:8" x14ac:dyDescent="0.3">
      <c r="B109" s="10" t="s">
        <v>34</v>
      </c>
      <c r="C109" s="26"/>
      <c r="D109" s="27">
        <f t="shared" si="3"/>
        <v>5757.7492000000002</v>
      </c>
      <c r="E109" s="28">
        <f>H93*D100*C95</f>
        <v>228.73255999999998</v>
      </c>
      <c r="F109" s="24"/>
      <c r="G109" s="24"/>
      <c r="H109" s="29">
        <f>D109/E109</f>
        <v>25.172407461360116</v>
      </c>
    </row>
    <row r="110" spans="2:8" x14ac:dyDescent="0.3">
      <c r="B110" s="10" t="s">
        <v>35</v>
      </c>
      <c r="C110" s="26"/>
      <c r="D110" s="27">
        <f t="shared" si="3"/>
        <v>5921.1296000000002</v>
      </c>
      <c r="E110" s="28">
        <f>H93*D101*C95</f>
        <v>294.08472</v>
      </c>
      <c r="F110" s="24"/>
      <c r="G110" s="24"/>
      <c r="H110" s="29">
        <f t="shared" ref="H110:H113" si="4">D110/E110</f>
        <v>20.134094692168979</v>
      </c>
    </row>
    <row r="111" spans="2:8" x14ac:dyDescent="0.3">
      <c r="B111" s="10" t="s">
        <v>36</v>
      </c>
      <c r="C111" s="26"/>
      <c r="D111" s="27">
        <f t="shared" si="3"/>
        <v>6084.51</v>
      </c>
      <c r="E111" s="28">
        <f>H93*D102*C95</f>
        <v>359.43687999999997</v>
      </c>
      <c r="F111" s="24"/>
      <c r="G111" s="24"/>
      <c r="H111" s="29">
        <f t="shared" si="4"/>
        <v>16.927895657229165</v>
      </c>
    </row>
    <row r="112" spans="2:8" x14ac:dyDescent="0.3">
      <c r="B112" s="10" t="s">
        <v>37</v>
      </c>
      <c r="C112" s="26"/>
      <c r="D112" s="27">
        <f t="shared" si="3"/>
        <v>6247.8904000000002</v>
      </c>
      <c r="E112" s="28">
        <f>H93*D103*C95</f>
        <v>424.78904</v>
      </c>
      <c r="F112" s="24"/>
      <c r="G112" s="24"/>
      <c r="H112" s="29">
        <f t="shared" si="4"/>
        <v>14.708219402270831</v>
      </c>
    </row>
    <row r="113" spans="2:8" ht="15" thickBot="1" x14ac:dyDescent="0.35">
      <c r="B113" s="10" t="s">
        <v>48</v>
      </c>
      <c r="C113" s="26"/>
      <c r="D113" s="27">
        <f t="shared" si="3"/>
        <v>7554.9335999999994</v>
      </c>
      <c r="E113" s="30">
        <f>H93*D104*C95</f>
        <v>457.46511999999996</v>
      </c>
      <c r="F113" s="31"/>
      <c r="G113" s="31"/>
      <c r="H113" s="29">
        <f t="shared" si="4"/>
        <v>16.514775159251485</v>
      </c>
    </row>
    <row r="114" spans="2:8" ht="15" thickBot="1" x14ac:dyDescent="0.35">
      <c r="B114" s="24"/>
      <c r="C114" s="24"/>
      <c r="D114" s="32"/>
      <c r="E114" s="33" t="s">
        <v>50</v>
      </c>
      <c r="F114" s="34"/>
      <c r="G114" s="35"/>
      <c r="H114" s="142">
        <f>H111-H$108</f>
        <v>-12.727264937309716</v>
      </c>
    </row>
    <row r="115" spans="2:8" ht="15" thickBot="1" x14ac:dyDescent="0.35">
      <c r="B115" s="24"/>
      <c r="C115" s="24"/>
      <c r="D115" s="32"/>
      <c r="E115" s="33" t="s">
        <v>51</v>
      </c>
      <c r="F115" s="34"/>
      <c r="G115" s="35"/>
      <c r="H115" s="142">
        <f>H112-H$108</f>
        <v>-14.946941192268049</v>
      </c>
    </row>
    <row r="116" spans="2:8" x14ac:dyDescent="0.3">
      <c r="B116" s="13"/>
      <c r="C116" s="37"/>
      <c r="D116" s="37"/>
      <c r="E116" s="38"/>
      <c r="F116" s="38"/>
      <c r="G116" s="38"/>
      <c r="H116" s="13"/>
    </row>
  </sheetData>
  <hyperlinks>
    <hyperlink ref="B82" r:id="rId1" xr:uid="{474B068A-5968-40F5-866D-CB362CADAA15}"/>
  </hyperlinks>
  <pageMargins left="0.7" right="0.7" top="0.75" bottom="0.75" header="0.3" footer="0.3"/>
  <pageSetup paperSize="9"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0AECB-F274-4A1D-9252-C288623A37E3}">
  <dimension ref="B2:R31"/>
  <sheetViews>
    <sheetView zoomScale="70" zoomScaleNormal="70" workbookViewId="0">
      <selection activeCell="M14" sqref="M14"/>
    </sheetView>
  </sheetViews>
  <sheetFormatPr defaultRowHeight="14.4" x14ac:dyDescent="0.3"/>
  <cols>
    <col min="2" max="2" width="27.77734375" bestFit="1" customWidth="1"/>
    <col min="3" max="3" width="26.77734375" bestFit="1" customWidth="1"/>
    <col min="8" max="8" width="10.21875" bestFit="1" customWidth="1"/>
    <col min="13" max="13" width="11.33203125" bestFit="1" customWidth="1"/>
    <col min="15" max="15" width="11.5546875" customWidth="1"/>
    <col min="16" max="16" width="11.77734375" customWidth="1"/>
    <col min="18" max="18" width="11.33203125" bestFit="1" customWidth="1"/>
    <col min="23" max="23" width="8.33203125" customWidth="1"/>
  </cols>
  <sheetData>
    <row r="2" spans="2:18" x14ac:dyDescent="0.3">
      <c r="B2" t="s">
        <v>0</v>
      </c>
    </row>
    <row r="5" spans="2:18" x14ac:dyDescent="0.3">
      <c r="B5" t="s">
        <v>72</v>
      </c>
      <c r="D5" s="65" t="s">
        <v>73</v>
      </c>
      <c r="E5" t="s">
        <v>74</v>
      </c>
    </row>
    <row r="7" spans="2:18" x14ac:dyDescent="0.3">
      <c r="B7" t="s">
        <v>75</v>
      </c>
      <c r="D7" s="65" t="s">
        <v>73</v>
      </c>
    </row>
    <row r="9" spans="2:18" ht="15" thickBot="1" x14ac:dyDescent="0.35"/>
    <row r="10" spans="2:18" x14ac:dyDescent="0.3">
      <c r="B10" s="116"/>
      <c r="C10" s="117"/>
      <c r="D10" s="118"/>
      <c r="E10" s="119"/>
      <c r="F10" s="117"/>
      <c r="G10" s="120" t="s">
        <v>185</v>
      </c>
      <c r="H10" s="121" t="s">
        <v>185</v>
      </c>
      <c r="I10" s="116"/>
      <c r="J10" s="122" t="s">
        <v>186</v>
      </c>
      <c r="K10" s="123" t="s">
        <v>187</v>
      </c>
      <c r="L10" s="124" t="s">
        <v>188</v>
      </c>
      <c r="M10" s="125" t="s">
        <v>189</v>
      </c>
      <c r="N10" s="116"/>
      <c r="O10" s="126" t="s">
        <v>190</v>
      </c>
      <c r="P10" s="125" t="s">
        <v>185</v>
      </c>
      <c r="Q10" s="127"/>
      <c r="R10" s="128" t="s">
        <v>189</v>
      </c>
    </row>
    <row r="11" spans="2:18" ht="15" thickBot="1" x14ac:dyDescent="0.35">
      <c r="B11" s="129" t="s">
        <v>191</v>
      </c>
      <c r="C11" s="130" t="s">
        <v>192</v>
      </c>
      <c r="D11" s="131" t="s">
        <v>193</v>
      </c>
      <c r="E11" s="129"/>
      <c r="F11" s="130" t="s">
        <v>194</v>
      </c>
      <c r="G11" s="132" t="s">
        <v>195</v>
      </c>
      <c r="H11" s="133" t="s">
        <v>196</v>
      </c>
      <c r="I11" s="129"/>
      <c r="J11" s="119"/>
      <c r="K11" s="134" t="s">
        <v>197</v>
      </c>
      <c r="L11" s="135" t="s">
        <v>197</v>
      </c>
      <c r="M11" s="133" t="s">
        <v>198</v>
      </c>
      <c r="N11" s="129"/>
      <c r="O11" s="134" t="s">
        <v>197</v>
      </c>
      <c r="P11" s="133" t="s">
        <v>199</v>
      </c>
      <c r="Q11" s="136"/>
      <c r="R11" s="137" t="s">
        <v>200</v>
      </c>
    </row>
    <row r="12" spans="2:18" ht="15" thickBot="1" x14ac:dyDescent="0.35">
      <c r="B12" s="105" t="s">
        <v>166</v>
      </c>
      <c r="C12" s="107"/>
      <c r="D12" s="108"/>
      <c r="E12" s="108"/>
      <c r="F12" s="108"/>
      <c r="G12" s="108"/>
      <c r="H12" s="109"/>
      <c r="I12" s="108"/>
      <c r="J12" s="108"/>
      <c r="K12" s="108"/>
      <c r="L12" s="109"/>
      <c r="M12" s="109"/>
      <c r="N12" s="108"/>
      <c r="O12" s="108"/>
      <c r="P12" s="108"/>
      <c r="Q12" s="108"/>
      <c r="R12" s="110"/>
    </row>
    <row r="13" spans="2:18" x14ac:dyDescent="0.3">
      <c r="B13" s="104" t="s">
        <v>167</v>
      </c>
      <c r="C13" s="104">
        <v>40</v>
      </c>
      <c r="D13" s="111" t="s">
        <v>168</v>
      </c>
      <c r="E13" s="112"/>
      <c r="F13" s="112">
        <v>2</v>
      </c>
      <c r="G13" s="112">
        <v>80</v>
      </c>
      <c r="H13" s="113">
        <v>3600</v>
      </c>
      <c r="I13" s="112"/>
      <c r="J13" s="112">
        <v>40</v>
      </c>
      <c r="K13" s="112" t="s">
        <v>168</v>
      </c>
      <c r="L13" s="113">
        <v>120</v>
      </c>
      <c r="M13" s="115">
        <f>J13*L13</f>
        <v>4800</v>
      </c>
      <c r="N13" s="112"/>
      <c r="O13" s="112"/>
      <c r="P13" s="112"/>
      <c r="Q13" s="112"/>
      <c r="R13" s="113">
        <f>M13+H13</f>
        <v>8400</v>
      </c>
    </row>
    <row r="14" spans="2:18" x14ac:dyDescent="0.3">
      <c r="B14" s="103" t="s">
        <v>94</v>
      </c>
      <c r="C14" s="103">
        <v>62</v>
      </c>
      <c r="D14" s="114" t="s">
        <v>169</v>
      </c>
      <c r="E14" s="12"/>
      <c r="F14" s="12">
        <v>0.25</v>
      </c>
      <c r="G14" s="12">
        <v>15.5</v>
      </c>
      <c r="H14" s="115">
        <v>697.5</v>
      </c>
      <c r="I14" s="12"/>
      <c r="J14" s="12">
        <v>62</v>
      </c>
      <c r="K14" s="12" t="s">
        <v>169</v>
      </c>
      <c r="L14" s="115">
        <v>60</v>
      </c>
      <c r="M14" s="115">
        <f>J14*L14</f>
        <v>3720</v>
      </c>
      <c r="N14" s="12"/>
      <c r="O14" s="12"/>
      <c r="P14" s="12"/>
      <c r="Q14" s="12"/>
      <c r="R14" s="113">
        <f t="shared" ref="R14:R29" si="0">M14+H14</f>
        <v>4417.5</v>
      </c>
    </row>
    <row r="15" spans="2:18" x14ac:dyDescent="0.3">
      <c r="B15" s="103" t="s">
        <v>170</v>
      </c>
      <c r="C15" s="103">
        <v>62</v>
      </c>
      <c r="D15" s="114" t="s">
        <v>169</v>
      </c>
      <c r="E15" s="12"/>
      <c r="F15" s="12">
        <v>0.8</v>
      </c>
      <c r="G15" s="12">
        <v>49.6</v>
      </c>
      <c r="H15" s="115">
        <v>2232</v>
      </c>
      <c r="I15" s="12"/>
      <c r="J15" s="12">
        <v>62</v>
      </c>
      <c r="K15" s="12" t="s">
        <v>169</v>
      </c>
      <c r="L15" s="115">
        <v>80</v>
      </c>
      <c r="M15" s="115">
        <f t="shared" ref="M15:M29" si="1">J15*L15</f>
        <v>4960</v>
      </c>
      <c r="N15" s="12"/>
      <c r="O15" s="12"/>
      <c r="P15" s="12"/>
      <c r="Q15" s="12"/>
      <c r="R15" s="113">
        <f t="shared" si="0"/>
        <v>7192</v>
      </c>
    </row>
    <row r="16" spans="2:18" x14ac:dyDescent="0.3">
      <c r="B16" s="103" t="s">
        <v>171</v>
      </c>
      <c r="C16" s="103">
        <v>62</v>
      </c>
      <c r="D16" s="114" t="s">
        <v>169</v>
      </c>
      <c r="E16" s="12"/>
      <c r="F16" s="12">
        <v>0.12</v>
      </c>
      <c r="G16" s="12">
        <v>7.4399999999999995</v>
      </c>
      <c r="H16" s="115">
        <v>334.79999999999995</v>
      </c>
      <c r="I16" s="12"/>
      <c r="J16" s="12">
        <v>62</v>
      </c>
      <c r="K16" s="12" t="s">
        <v>169</v>
      </c>
      <c r="L16" s="115">
        <v>3</v>
      </c>
      <c r="M16" s="115">
        <f t="shared" si="1"/>
        <v>186</v>
      </c>
      <c r="N16" s="12"/>
      <c r="O16" s="12"/>
      <c r="P16" s="12"/>
      <c r="Q16" s="12"/>
      <c r="R16" s="113">
        <f t="shared" si="0"/>
        <v>520.79999999999995</v>
      </c>
    </row>
    <row r="17" spans="2:18" x14ac:dyDescent="0.3">
      <c r="B17" s="103" t="s">
        <v>172</v>
      </c>
      <c r="C17" s="103">
        <v>62</v>
      </c>
      <c r="D17" s="114" t="s">
        <v>169</v>
      </c>
      <c r="E17" s="12"/>
      <c r="F17" s="12">
        <v>0.25</v>
      </c>
      <c r="G17" s="12">
        <v>15.5</v>
      </c>
      <c r="H17" s="115">
        <v>697.5</v>
      </c>
      <c r="I17" s="12"/>
      <c r="J17" s="12">
        <v>62</v>
      </c>
      <c r="K17" s="12" t="s">
        <v>169</v>
      </c>
      <c r="L17" s="115">
        <v>40</v>
      </c>
      <c r="M17" s="115">
        <f t="shared" si="1"/>
        <v>2480</v>
      </c>
      <c r="N17" s="12"/>
      <c r="O17" s="12"/>
      <c r="P17" s="12"/>
      <c r="Q17" s="12"/>
      <c r="R17" s="113">
        <f t="shared" si="0"/>
        <v>3177.5</v>
      </c>
    </row>
    <row r="18" spans="2:18" x14ac:dyDescent="0.3">
      <c r="B18" s="103" t="s">
        <v>173</v>
      </c>
      <c r="C18" s="103">
        <v>40</v>
      </c>
      <c r="D18" s="114" t="s">
        <v>169</v>
      </c>
      <c r="E18" s="12"/>
      <c r="F18" s="12">
        <v>0.2</v>
      </c>
      <c r="G18" s="12">
        <v>8</v>
      </c>
      <c r="H18" s="115">
        <v>360</v>
      </c>
      <c r="I18" s="12"/>
      <c r="J18" s="12">
        <v>40</v>
      </c>
      <c r="K18" s="12" t="s">
        <v>169</v>
      </c>
      <c r="L18" s="115">
        <v>250</v>
      </c>
      <c r="M18" s="115">
        <f t="shared" si="1"/>
        <v>10000</v>
      </c>
      <c r="N18" s="12"/>
      <c r="O18" s="12"/>
      <c r="P18" s="12"/>
      <c r="Q18" s="12"/>
      <c r="R18" s="113">
        <f t="shared" si="0"/>
        <v>10360</v>
      </c>
    </row>
    <row r="19" spans="2:18" x14ac:dyDescent="0.3">
      <c r="B19" s="103" t="s">
        <v>183</v>
      </c>
      <c r="C19" s="103">
        <v>62</v>
      </c>
      <c r="D19" s="114" t="s">
        <v>169</v>
      </c>
      <c r="E19" s="12"/>
      <c r="F19" s="12">
        <v>0.05</v>
      </c>
      <c r="G19" s="12">
        <v>3.1</v>
      </c>
      <c r="H19" s="115">
        <v>139.5</v>
      </c>
      <c r="I19" s="12"/>
      <c r="J19" s="12">
        <v>62</v>
      </c>
      <c r="K19" s="12" t="s">
        <v>169</v>
      </c>
      <c r="L19" s="115">
        <v>1.4</v>
      </c>
      <c r="M19" s="115">
        <f t="shared" si="1"/>
        <v>86.8</v>
      </c>
      <c r="N19" s="12"/>
      <c r="O19" s="12"/>
      <c r="P19" s="12"/>
      <c r="Q19" s="12"/>
      <c r="R19" s="113">
        <f t="shared" si="0"/>
        <v>226.3</v>
      </c>
    </row>
    <row r="20" spans="2:18" x14ac:dyDescent="0.3">
      <c r="B20" s="103" t="s">
        <v>184</v>
      </c>
      <c r="C20" s="103">
        <v>6</v>
      </c>
      <c r="D20" s="12" t="s">
        <v>181</v>
      </c>
      <c r="E20" s="12"/>
      <c r="F20" s="12">
        <v>1.3</v>
      </c>
      <c r="G20" s="12">
        <v>7.8000000000000007</v>
      </c>
      <c r="H20" s="115">
        <v>351.00000000000006</v>
      </c>
      <c r="I20" s="12"/>
      <c r="J20" s="12">
        <v>6</v>
      </c>
      <c r="K20" s="12" t="s">
        <v>181</v>
      </c>
      <c r="L20" s="115">
        <v>200</v>
      </c>
      <c r="M20" s="115">
        <f t="shared" si="1"/>
        <v>1200</v>
      </c>
      <c r="N20" s="12"/>
      <c r="O20" s="12"/>
      <c r="P20" s="12"/>
      <c r="Q20" s="12"/>
      <c r="R20" s="113">
        <f t="shared" si="0"/>
        <v>1551</v>
      </c>
    </row>
    <row r="21" spans="2:18" x14ac:dyDescent="0.3">
      <c r="B21" s="103" t="s">
        <v>5</v>
      </c>
      <c r="C21" s="103">
        <v>18</v>
      </c>
      <c r="D21" s="106" t="s">
        <v>168</v>
      </c>
      <c r="E21" s="12"/>
      <c r="F21" s="12">
        <v>1</v>
      </c>
      <c r="G21" s="12">
        <v>18</v>
      </c>
      <c r="H21" s="115">
        <v>810</v>
      </c>
      <c r="I21" s="12"/>
      <c r="J21" s="12">
        <v>18</v>
      </c>
      <c r="K21" s="12" t="s">
        <v>168</v>
      </c>
      <c r="L21" s="115">
        <v>120</v>
      </c>
      <c r="M21" s="115">
        <f t="shared" si="1"/>
        <v>2160</v>
      </c>
      <c r="N21" s="12"/>
      <c r="O21" s="12"/>
      <c r="P21" s="12"/>
      <c r="Q21" s="12"/>
      <c r="R21" s="113">
        <f t="shared" si="0"/>
        <v>2970</v>
      </c>
    </row>
    <row r="22" spans="2:18" x14ac:dyDescent="0.3">
      <c r="B22" s="103" t="s">
        <v>174</v>
      </c>
      <c r="C22" s="103">
        <v>144</v>
      </c>
      <c r="D22" s="106" t="s">
        <v>169</v>
      </c>
      <c r="E22" s="12"/>
      <c r="F22" s="12">
        <v>0.5</v>
      </c>
      <c r="G22" s="12">
        <v>72</v>
      </c>
      <c r="H22" s="115">
        <v>3240</v>
      </c>
      <c r="I22" s="12"/>
      <c r="J22" s="12">
        <v>144</v>
      </c>
      <c r="K22" s="12" t="s">
        <v>169</v>
      </c>
      <c r="L22" s="115">
        <v>80</v>
      </c>
      <c r="M22" s="115">
        <f t="shared" si="1"/>
        <v>11520</v>
      </c>
      <c r="N22" s="12"/>
      <c r="O22" s="12"/>
      <c r="P22" s="12"/>
      <c r="Q22" s="12"/>
      <c r="R22" s="113">
        <f t="shared" si="0"/>
        <v>14760</v>
      </c>
    </row>
    <row r="23" spans="2:18" x14ac:dyDescent="0.3">
      <c r="B23" s="103" t="s">
        <v>175</v>
      </c>
      <c r="C23" s="103">
        <v>72</v>
      </c>
      <c r="D23" s="106" t="s">
        <v>169</v>
      </c>
      <c r="E23" s="12"/>
      <c r="F23" s="12">
        <v>0.05</v>
      </c>
      <c r="G23" s="12">
        <v>3.6</v>
      </c>
      <c r="H23" s="115">
        <v>162</v>
      </c>
      <c r="I23" s="12"/>
      <c r="J23" s="12">
        <v>72</v>
      </c>
      <c r="K23" s="12" t="s">
        <v>169</v>
      </c>
      <c r="L23" s="115">
        <v>0.88</v>
      </c>
      <c r="M23" s="115">
        <f t="shared" si="1"/>
        <v>63.36</v>
      </c>
      <c r="N23" s="12"/>
      <c r="O23" s="12"/>
      <c r="P23" s="12"/>
      <c r="Q23" s="12"/>
      <c r="R23" s="113">
        <f t="shared" si="0"/>
        <v>225.36</v>
      </c>
    </row>
    <row r="24" spans="2:18" x14ac:dyDescent="0.3">
      <c r="B24" s="103" t="s">
        <v>176</v>
      </c>
      <c r="C24" s="103">
        <v>72</v>
      </c>
      <c r="D24" s="106" t="s">
        <v>169</v>
      </c>
      <c r="E24" s="12"/>
      <c r="F24" s="12">
        <v>0.05</v>
      </c>
      <c r="G24" s="12">
        <v>3.6</v>
      </c>
      <c r="H24" s="115">
        <v>162</v>
      </c>
      <c r="I24" s="12"/>
      <c r="J24" s="12">
        <v>72</v>
      </c>
      <c r="K24" s="12" t="s">
        <v>169</v>
      </c>
      <c r="L24" s="115">
        <v>1.2</v>
      </c>
      <c r="M24" s="115">
        <f t="shared" si="1"/>
        <v>86.399999999999991</v>
      </c>
      <c r="N24" s="12"/>
      <c r="O24" s="12"/>
      <c r="P24" s="12"/>
      <c r="Q24" s="12"/>
      <c r="R24" s="113">
        <f t="shared" si="0"/>
        <v>248.39999999999998</v>
      </c>
    </row>
    <row r="25" spans="2:18" x14ac:dyDescent="0.3">
      <c r="B25" s="103" t="s">
        <v>177</v>
      </c>
      <c r="C25" s="103">
        <v>72</v>
      </c>
      <c r="D25" s="106" t="s">
        <v>169</v>
      </c>
      <c r="E25" s="12"/>
      <c r="F25" s="12">
        <v>0.05</v>
      </c>
      <c r="G25" s="12">
        <v>3.6</v>
      </c>
      <c r="H25" s="115">
        <v>162</v>
      </c>
      <c r="I25" s="12"/>
      <c r="J25" s="12">
        <v>72</v>
      </c>
      <c r="K25" s="12" t="s">
        <v>169</v>
      </c>
      <c r="L25" s="115">
        <v>13</v>
      </c>
      <c r="M25" s="115">
        <f t="shared" si="1"/>
        <v>936</v>
      </c>
      <c r="N25" s="12"/>
      <c r="O25" s="12"/>
      <c r="P25" s="12"/>
      <c r="Q25" s="12"/>
      <c r="R25" s="113">
        <f t="shared" si="0"/>
        <v>1098</v>
      </c>
    </row>
    <row r="26" spans="2:18" x14ac:dyDescent="0.3">
      <c r="B26" s="103" t="s">
        <v>178</v>
      </c>
      <c r="C26" s="103">
        <v>72</v>
      </c>
      <c r="D26" s="106" t="s">
        <v>169</v>
      </c>
      <c r="E26" s="12"/>
      <c r="F26" s="12">
        <v>0.05</v>
      </c>
      <c r="G26" s="12">
        <v>3.6</v>
      </c>
      <c r="H26" s="115">
        <v>162</v>
      </c>
      <c r="I26" s="12"/>
      <c r="J26" s="12">
        <v>72</v>
      </c>
      <c r="K26" s="12" t="s">
        <v>169</v>
      </c>
      <c r="L26" s="115">
        <v>1.65</v>
      </c>
      <c r="M26" s="115">
        <f t="shared" si="1"/>
        <v>118.8</v>
      </c>
      <c r="N26" s="12"/>
      <c r="O26" s="12"/>
      <c r="P26" s="12"/>
      <c r="Q26" s="12"/>
      <c r="R26" s="113">
        <f t="shared" si="0"/>
        <v>280.8</v>
      </c>
    </row>
    <row r="27" spans="2:18" x14ac:dyDescent="0.3">
      <c r="B27" s="103" t="s">
        <v>179</v>
      </c>
      <c r="C27" s="103">
        <v>72</v>
      </c>
      <c r="D27" s="106" t="s">
        <v>169</v>
      </c>
      <c r="E27" s="12"/>
      <c r="F27" s="12">
        <v>0.05</v>
      </c>
      <c r="G27" s="12">
        <v>3.6</v>
      </c>
      <c r="H27" s="115">
        <v>162</v>
      </c>
      <c r="I27" s="12"/>
      <c r="J27" s="12">
        <v>72</v>
      </c>
      <c r="K27" s="12" t="s">
        <v>169</v>
      </c>
      <c r="L27" s="115">
        <v>10.28</v>
      </c>
      <c r="M27" s="115">
        <f t="shared" si="1"/>
        <v>740.16</v>
      </c>
      <c r="N27" s="12"/>
      <c r="O27" s="12"/>
      <c r="P27" s="12"/>
      <c r="Q27" s="12"/>
      <c r="R27" s="113">
        <f t="shared" si="0"/>
        <v>902.16</v>
      </c>
    </row>
    <row r="28" spans="2:18" x14ac:dyDescent="0.3">
      <c r="B28" s="103" t="s">
        <v>180</v>
      </c>
      <c r="C28" s="103">
        <v>6</v>
      </c>
      <c r="D28" s="106" t="s">
        <v>181</v>
      </c>
      <c r="E28" s="12"/>
      <c r="F28" s="12">
        <v>1</v>
      </c>
      <c r="G28" s="12">
        <v>6</v>
      </c>
      <c r="H28" s="115">
        <v>270</v>
      </c>
      <c r="I28" s="12"/>
      <c r="J28" s="12">
        <v>6</v>
      </c>
      <c r="K28" s="12" t="s">
        <v>181</v>
      </c>
      <c r="L28" s="115">
        <v>135</v>
      </c>
      <c r="M28" s="115">
        <f t="shared" si="1"/>
        <v>810</v>
      </c>
      <c r="N28" s="12"/>
      <c r="O28" s="12"/>
      <c r="P28" s="12"/>
      <c r="Q28" s="12"/>
      <c r="R28" s="113">
        <f t="shared" si="0"/>
        <v>1080</v>
      </c>
    </row>
    <row r="29" spans="2:18" x14ac:dyDescent="0.3">
      <c r="B29" s="103" t="s">
        <v>182</v>
      </c>
      <c r="C29" s="103">
        <v>72</v>
      </c>
      <c r="D29" s="106" t="s">
        <v>169</v>
      </c>
      <c r="E29" s="12"/>
      <c r="F29" s="12">
        <v>0.1</v>
      </c>
      <c r="G29" s="12">
        <v>7.2</v>
      </c>
      <c r="H29" s="115">
        <v>324</v>
      </c>
      <c r="I29" s="12"/>
      <c r="J29" s="12">
        <v>72</v>
      </c>
      <c r="K29" s="12" t="s">
        <v>169</v>
      </c>
      <c r="L29" s="115">
        <v>30</v>
      </c>
      <c r="M29" s="115">
        <f t="shared" si="1"/>
        <v>2160</v>
      </c>
      <c r="N29" s="12"/>
      <c r="O29" s="12"/>
      <c r="P29" s="12"/>
      <c r="Q29" s="12"/>
      <c r="R29" s="113">
        <f t="shared" si="0"/>
        <v>2484</v>
      </c>
    </row>
    <row r="31" spans="2:18" x14ac:dyDescent="0.3">
      <c r="R31" s="138">
        <f>SUM(R13:R29)</f>
        <v>59893.820000000014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CDEF-340D-4B42-9ABA-16CB03A04F6D}">
  <dimension ref="B2:K51"/>
  <sheetViews>
    <sheetView zoomScale="70" zoomScaleNormal="70" workbookViewId="0">
      <selection activeCell="K21" sqref="B21:K25"/>
    </sheetView>
  </sheetViews>
  <sheetFormatPr defaultRowHeight="14.4" x14ac:dyDescent="0.3"/>
  <cols>
    <col min="2" max="2" width="36.33203125" bestFit="1" customWidth="1"/>
    <col min="4" max="4" width="9.33203125" customWidth="1"/>
    <col min="5" max="5" width="16.6640625" bestFit="1" customWidth="1"/>
    <col min="6" max="6" width="16.44140625" customWidth="1"/>
    <col min="7" max="7" width="16.77734375" customWidth="1"/>
    <col min="8" max="8" width="17.44140625" customWidth="1"/>
    <col min="9" max="9" width="13.44140625" customWidth="1"/>
    <col min="10" max="11" width="13.109375" bestFit="1" customWidth="1"/>
  </cols>
  <sheetData>
    <row r="2" spans="2:9" x14ac:dyDescent="0.3">
      <c r="B2" s="64" t="s">
        <v>65</v>
      </c>
      <c r="I2" t="s">
        <v>106</v>
      </c>
    </row>
    <row r="3" spans="2:9" x14ac:dyDescent="0.3">
      <c r="B3" s="64"/>
    </row>
    <row r="4" spans="2:9" x14ac:dyDescent="0.3">
      <c r="B4" s="64" t="s">
        <v>66</v>
      </c>
    </row>
    <row r="5" spans="2:9" x14ac:dyDescent="0.3">
      <c r="B5" s="64"/>
    </row>
    <row r="6" spans="2:9" x14ac:dyDescent="0.3">
      <c r="B6" s="64" t="s">
        <v>67</v>
      </c>
    </row>
    <row r="7" spans="2:9" x14ac:dyDescent="0.3">
      <c r="B7" s="64"/>
    </row>
    <row r="8" spans="2:9" x14ac:dyDescent="0.3">
      <c r="B8" s="64" t="s">
        <v>68</v>
      </c>
    </row>
    <row r="9" spans="2:9" x14ac:dyDescent="0.3">
      <c r="B9" s="64"/>
    </row>
    <row r="10" spans="2:9" x14ac:dyDescent="0.3">
      <c r="B10" s="64" t="s">
        <v>69</v>
      </c>
    </row>
    <row r="11" spans="2:9" x14ac:dyDescent="0.3">
      <c r="B11" s="64"/>
    </row>
    <row r="12" spans="2:9" x14ac:dyDescent="0.3">
      <c r="B12" s="64" t="s">
        <v>69</v>
      </c>
    </row>
    <row r="13" spans="2:9" x14ac:dyDescent="0.3">
      <c r="B13" s="64"/>
    </row>
    <row r="14" spans="2:9" x14ac:dyDescent="0.3">
      <c r="B14" s="64" t="s">
        <v>70</v>
      </c>
    </row>
    <row r="15" spans="2:9" x14ac:dyDescent="0.3">
      <c r="B15" s="64"/>
    </row>
    <row r="16" spans="2:9" x14ac:dyDescent="0.3">
      <c r="B16" s="64" t="s">
        <v>71</v>
      </c>
    </row>
    <row r="17" spans="2:11" x14ac:dyDescent="0.3">
      <c r="B17" s="64"/>
    </row>
    <row r="18" spans="2:11" x14ac:dyDescent="0.3">
      <c r="B18" s="64"/>
    </row>
    <row r="19" spans="2:11" x14ac:dyDescent="0.3">
      <c r="B19" s="64"/>
    </row>
    <row r="21" spans="2:11" x14ac:dyDescent="0.3">
      <c r="B21" s="49" t="s">
        <v>111</v>
      </c>
      <c r="C21" s="50"/>
      <c r="D21" s="50" t="s">
        <v>107</v>
      </c>
      <c r="E21" s="50" t="s">
        <v>110</v>
      </c>
      <c r="F21" s="50" t="s">
        <v>109</v>
      </c>
      <c r="G21" s="50" t="s">
        <v>85</v>
      </c>
      <c r="H21" s="50"/>
      <c r="I21" s="50"/>
      <c r="J21" s="50"/>
      <c r="K21" s="50"/>
    </row>
    <row r="22" spans="2:11" x14ac:dyDescent="0.3">
      <c r="B22" s="77" t="s">
        <v>108</v>
      </c>
      <c r="C22" s="51"/>
      <c r="D22" s="56"/>
      <c r="E22" s="1"/>
      <c r="F22" s="80">
        <v>40</v>
      </c>
      <c r="G22" s="1"/>
      <c r="H22" s="63"/>
      <c r="I22" s="1"/>
      <c r="J22" s="57"/>
      <c r="K22" s="1"/>
    </row>
    <row r="23" spans="2:11" x14ac:dyDescent="0.3">
      <c r="B23" s="50" t="s">
        <v>112</v>
      </c>
      <c r="C23" s="51"/>
      <c r="D23" s="75">
        <f>4*3.5</f>
        <v>14</v>
      </c>
      <c r="E23" s="79">
        <f>10/60*D23</f>
        <v>2.333333333333333</v>
      </c>
      <c r="F23" s="52">
        <f>E23*40</f>
        <v>93.333333333333314</v>
      </c>
      <c r="G23" s="58"/>
      <c r="H23" s="58"/>
      <c r="I23" s="76"/>
      <c r="J23" s="76"/>
      <c r="K23" s="29"/>
    </row>
    <row r="24" spans="2:11" x14ac:dyDescent="0.3">
      <c r="B24" s="50" t="s">
        <v>113</v>
      </c>
      <c r="C24" s="53"/>
      <c r="D24" s="75">
        <f>3*5.2</f>
        <v>15.600000000000001</v>
      </c>
      <c r="E24" s="79">
        <f t="shared" ref="E24:E29" si="0">10/60*D24</f>
        <v>2.6</v>
      </c>
      <c r="F24" s="52">
        <f t="shared" ref="F24:F29" si="1">E24*40</f>
        <v>104</v>
      </c>
      <c r="G24" s="58"/>
      <c r="H24" s="58"/>
      <c r="I24" s="76"/>
      <c r="J24" s="76"/>
      <c r="K24" s="29"/>
    </row>
    <row r="25" spans="2:11" x14ac:dyDescent="0.3">
      <c r="B25" s="50" t="s">
        <v>114</v>
      </c>
      <c r="C25" s="54"/>
      <c r="D25" s="75">
        <f>13*2.2</f>
        <v>28.6</v>
      </c>
      <c r="E25" s="79">
        <f t="shared" si="0"/>
        <v>4.7666666666666666</v>
      </c>
      <c r="F25" s="52">
        <f t="shared" si="1"/>
        <v>190.66666666666666</v>
      </c>
      <c r="G25" s="58"/>
      <c r="H25" s="58"/>
      <c r="I25" s="76"/>
      <c r="J25" s="76"/>
      <c r="K25" s="29"/>
    </row>
    <row r="26" spans="2:11" x14ac:dyDescent="0.3">
      <c r="B26" s="50" t="s">
        <v>115</v>
      </c>
      <c r="C26" s="51"/>
      <c r="D26" s="75">
        <f>4*4.2</f>
        <v>16.8</v>
      </c>
      <c r="E26" s="79">
        <f t="shared" si="0"/>
        <v>2.8</v>
      </c>
      <c r="F26" s="52">
        <f t="shared" si="1"/>
        <v>112</v>
      </c>
      <c r="G26" s="58"/>
      <c r="H26" s="58"/>
      <c r="I26" s="76"/>
      <c r="J26" s="76"/>
      <c r="K26" s="29"/>
    </row>
    <row r="27" spans="2:11" x14ac:dyDescent="0.3">
      <c r="B27" s="50" t="s">
        <v>116</v>
      </c>
      <c r="C27" s="51"/>
      <c r="D27" s="29">
        <f>5.2*4.9</f>
        <v>25.480000000000004</v>
      </c>
      <c r="E27" s="79">
        <f t="shared" si="0"/>
        <v>4.246666666666667</v>
      </c>
      <c r="F27" s="52">
        <f t="shared" si="1"/>
        <v>169.86666666666667</v>
      </c>
      <c r="G27" s="58"/>
      <c r="H27" s="58"/>
      <c r="I27" s="29"/>
      <c r="J27" s="29"/>
      <c r="K27" s="29"/>
    </row>
    <row r="28" spans="2:11" x14ac:dyDescent="0.3">
      <c r="B28" s="50" t="s">
        <v>116</v>
      </c>
      <c r="C28" s="51"/>
      <c r="D28" s="29">
        <f>5.2*4.9</f>
        <v>25.480000000000004</v>
      </c>
      <c r="E28" s="79">
        <f t="shared" si="0"/>
        <v>4.246666666666667</v>
      </c>
      <c r="F28" s="52">
        <f t="shared" si="1"/>
        <v>169.86666666666667</v>
      </c>
      <c r="G28" s="58"/>
      <c r="H28" s="58"/>
      <c r="I28" s="29"/>
      <c r="J28" s="29"/>
      <c r="K28" s="29"/>
    </row>
    <row r="29" spans="2:11" x14ac:dyDescent="0.3">
      <c r="B29" s="50" t="s">
        <v>117</v>
      </c>
      <c r="C29" s="51"/>
      <c r="D29" s="29">
        <f>3.7*5</f>
        <v>18.5</v>
      </c>
      <c r="E29" s="79">
        <f t="shared" si="0"/>
        <v>3.083333333333333</v>
      </c>
      <c r="F29" s="52">
        <f t="shared" si="1"/>
        <v>123.33333333333331</v>
      </c>
      <c r="G29" s="29"/>
      <c r="H29" s="29"/>
      <c r="I29" s="29"/>
      <c r="J29" s="29"/>
      <c r="K29" s="29"/>
    </row>
    <row r="30" spans="2:11" x14ac:dyDescent="0.3">
      <c r="B30" s="50"/>
      <c r="C30" s="51"/>
      <c r="D30" s="58"/>
      <c r="E30" s="58"/>
      <c r="F30" s="29"/>
      <c r="G30" s="52">
        <f>SUM(F23:F29)</f>
        <v>963.06666666666661</v>
      </c>
      <c r="H30" s="29"/>
      <c r="I30" s="29"/>
      <c r="J30" s="29"/>
      <c r="K30" s="29"/>
    </row>
    <row r="32" spans="2:11" x14ac:dyDescent="0.3">
      <c r="B32" s="49" t="s">
        <v>130</v>
      </c>
      <c r="C32" s="50"/>
      <c r="D32" s="50" t="s">
        <v>107</v>
      </c>
      <c r="E32" s="50" t="s">
        <v>131</v>
      </c>
      <c r="F32" s="50" t="s">
        <v>110</v>
      </c>
      <c r="G32" s="50" t="s">
        <v>109</v>
      </c>
      <c r="H32" s="50" t="s">
        <v>132</v>
      </c>
      <c r="I32" s="50" t="s">
        <v>85</v>
      </c>
      <c r="J32" s="50" t="s">
        <v>201</v>
      </c>
      <c r="K32" s="50"/>
    </row>
    <row r="33" spans="2:11" x14ac:dyDescent="0.3">
      <c r="B33" s="77" t="s">
        <v>108</v>
      </c>
      <c r="C33" s="51"/>
      <c r="D33" s="56"/>
      <c r="E33" s="1"/>
      <c r="F33" s="1"/>
      <c r="G33" s="80">
        <v>40</v>
      </c>
      <c r="H33" s="87">
        <v>350</v>
      </c>
      <c r="I33" s="1"/>
      <c r="J33" s="57"/>
      <c r="K33" s="1"/>
    </row>
    <row r="34" spans="2:11" x14ac:dyDescent="0.3">
      <c r="B34" s="50" t="s">
        <v>112</v>
      </c>
      <c r="C34" s="51"/>
      <c r="D34" s="75">
        <f>4*3.5</f>
        <v>14</v>
      </c>
      <c r="E34" s="78">
        <v>3</v>
      </c>
      <c r="F34" s="79">
        <f>(D34*0.05)+(19)/E34</f>
        <v>7.0333333333333332</v>
      </c>
      <c r="G34" s="52">
        <f>F34*40</f>
        <v>281.33333333333331</v>
      </c>
      <c r="H34" s="52">
        <f>D34*H$33</f>
        <v>4900</v>
      </c>
      <c r="I34" s="76"/>
      <c r="J34" s="76"/>
      <c r="K34" s="29"/>
    </row>
    <row r="35" spans="2:11" x14ac:dyDescent="0.3">
      <c r="B35" s="50" t="s">
        <v>113</v>
      </c>
      <c r="C35" s="53"/>
      <c r="D35" s="75">
        <f>3*5.2-(2*2.4)</f>
        <v>10.8</v>
      </c>
      <c r="E35" s="78">
        <v>3</v>
      </c>
      <c r="F35" s="79">
        <f t="shared" ref="F35:F39" si="2">(D35*0.05)+(19)/E35</f>
        <v>6.8733333333333331</v>
      </c>
      <c r="G35" s="52">
        <f t="shared" ref="G35:G36" si="3">F35*40</f>
        <v>274.93333333333334</v>
      </c>
      <c r="H35" s="52">
        <f>D35*H$33</f>
        <v>3780.0000000000005</v>
      </c>
      <c r="I35" s="76"/>
      <c r="J35" s="76"/>
      <c r="K35" s="29"/>
    </row>
    <row r="36" spans="2:11" x14ac:dyDescent="0.3">
      <c r="B36" s="50" t="s">
        <v>114</v>
      </c>
      <c r="C36" s="54"/>
      <c r="D36" s="75">
        <f>13*2.2-(2*2.4)</f>
        <v>23.8</v>
      </c>
      <c r="E36" s="78">
        <v>3</v>
      </c>
      <c r="F36" s="79">
        <f t="shared" si="2"/>
        <v>7.5233333333333334</v>
      </c>
      <c r="G36" s="52">
        <f t="shared" si="3"/>
        <v>300.93333333333334</v>
      </c>
      <c r="H36" s="52">
        <f t="shared" ref="H36:H39" si="4">D36*H$33</f>
        <v>8330</v>
      </c>
      <c r="I36" s="76"/>
      <c r="J36" s="76"/>
      <c r="K36" s="29"/>
    </row>
    <row r="37" spans="2:11" x14ac:dyDescent="0.3">
      <c r="B37" s="50" t="s">
        <v>116</v>
      </c>
      <c r="C37" s="51"/>
      <c r="D37" s="29">
        <f>5.2*4.9</f>
        <v>25.480000000000004</v>
      </c>
      <c r="E37" s="78">
        <v>3</v>
      </c>
      <c r="F37" s="79">
        <f t="shared" si="2"/>
        <v>7.6073333333333331</v>
      </c>
      <c r="G37" s="52">
        <f>F37*40</f>
        <v>304.29333333333329</v>
      </c>
      <c r="H37" s="52">
        <f t="shared" si="4"/>
        <v>8918.0000000000018</v>
      </c>
      <c r="I37" s="29"/>
      <c r="J37" s="29"/>
      <c r="K37" s="29"/>
    </row>
    <row r="38" spans="2:11" x14ac:dyDescent="0.3">
      <c r="B38" s="50" t="s">
        <v>116</v>
      </c>
      <c r="C38" s="51"/>
      <c r="D38" s="29">
        <f>5.2*4.9</f>
        <v>25.480000000000004</v>
      </c>
      <c r="E38" s="78">
        <v>3</v>
      </c>
      <c r="F38" s="79">
        <f t="shared" si="2"/>
        <v>7.6073333333333331</v>
      </c>
      <c r="G38" s="52">
        <f>F38*40</f>
        <v>304.29333333333329</v>
      </c>
      <c r="H38" s="52">
        <f t="shared" si="4"/>
        <v>8918.0000000000018</v>
      </c>
      <c r="I38" s="29"/>
      <c r="J38" s="29"/>
      <c r="K38" s="29"/>
    </row>
    <row r="39" spans="2:11" x14ac:dyDescent="0.3">
      <c r="B39" s="50" t="s">
        <v>117</v>
      </c>
      <c r="C39" s="51"/>
      <c r="D39" s="29">
        <f>3.7*5</f>
        <v>18.5</v>
      </c>
      <c r="E39" s="78">
        <v>3</v>
      </c>
      <c r="F39" s="79">
        <f t="shared" si="2"/>
        <v>7.2583333333333329</v>
      </c>
      <c r="G39" s="52">
        <f>F39*40</f>
        <v>290.33333333333331</v>
      </c>
      <c r="H39" s="52">
        <f t="shared" si="4"/>
        <v>6475</v>
      </c>
      <c r="I39" s="29"/>
      <c r="J39" s="29"/>
      <c r="K39" s="29"/>
    </row>
    <row r="40" spans="2:11" x14ac:dyDescent="0.3">
      <c r="B40" s="50" t="s">
        <v>202</v>
      </c>
      <c r="C40" s="51"/>
      <c r="D40" s="139">
        <v>321</v>
      </c>
      <c r="E40" s="78">
        <v>3</v>
      </c>
      <c r="F40" s="79">
        <f t="shared" ref="F40" si="5">(D40*0.05)+(19)/E40</f>
        <v>22.383333333333333</v>
      </c>
      <c r="G40" s="52">
        <f>F40*40</f>
        <v>895.33333333333326</v>
      </c>
      <c r="H40" s="52">
        <f t="shared" ref="H40" si="6">D40*H$33</f>
        <v>112350</v>
      </c>
      <c r="J40" s="29"/>
      <c r="K40" s="29"/>
    </row>
    <row r="41" spans="2:11" x14ac:dyDescent="0.3">
      <c r="B41" s="50"/>
      <c r="C41" s="51"/>
      <c r="D41" s="139"/>
      <c r="E41" s="78"/>
      <c r="F41" s="79"/>
      <c r="G41" s="52"/>
      <c r="H41" s="52"/>
      <c r="I41" s="52">
        <f>SUM(G34:G40)+SUM(H34:H40)</f>
        <v>156322.45333333334</v>
      </c>
      <c r="J41" s="29">
        <f>SUM(D34:D40)</f>
        <v>439.06</v>
      </c>
      <c r="K41" s="29"/>
    </row>
    <row r="43" spans="2:11" x14ac:dyDescent="0.3">
      <c r="B43" s="49" t="s">
        <v>136</v>
      </c>
      <c r="C43" s="50"/>
      <c r="D43" s="50" t="s">
        <v>16</v>
      </c>
      <c r="E43" s="50" t="s">
        <v>134</v>
      </c>
      <c r="F43" s="50" t="s">
        <v>135</v>
      </c>
      <c r="G43" s="50" t="s">
        <v>85</v>
      </c>
    </row>
    <row r="44" spans="2:11" x14ac:dyDescent="0.3">
      <c r="B44" s="77" t="s">
        <v>108</v>
      </c>
      <c r="C44" s="51"/>
      <c r="D44" s="56"/>
      <c r="E44" s="1"/>
      <c r="F44" s="1"/>
      <c r="G44" s="80"/>
    </row>
    <row r="45" spans="2:11" x14ac:dyDescent="0.3">
      <c r="B45" s="50" t="s">
        <v>133</v>
      </c>
      <c r="C45" s="51"/>
      <c r="D45" s="90">
        <v>2</v>
      </c>
      <c r="E45" s="52">
        <v>500</v>
      </c>
      <c r="F45" s="52">
        <f>D45*E45</f>
        <v>1000</v>
      </c>
      <c r="G45" s="52"/>
    </row>
    <row r="46" spans="2:11" x14ac:dyDescent="0.3">
      <c r="B46" s="50" t="s">
        <v>68</v>
      </c>
      <c r="C46" s="51"/>
      <c r="D46" s="59">
        <v>1</v>
      </c>
      <c r="E46" s="52">
        <v>800</v>
      </c>
      <c r="F46" s="29">
        <f>E46*D46</f>
        <v>800</v>
      </c>
      <c r="G46" s="29"/>
    </row>
    <row r="47" spans="2:11" x14ac:dyDescent="0.3">
      <c r="B47" s="50"/>
      <c r="C47" s="51"/>
      <c r="D47" s="59"/>
      <c r="E47" s="52"/>
      <c r="F47" s="29"/>
      <c r="G47" s="52">
        <f>F45+F46</f>
        <v>1800</v>
      </c>
    </row>
    <row r="50" spans="7:7" x14ac:dyDescent="0.3">
      <c r="G50" s="50" t="s">
        <v>85</v>
      </c>
    </row>
    <row r="51" spans="7:7" x14ac:dyDescent="0.3">
      <c r="G51" s="57">
        <f>G30+I41+G47</f>
        <v>159085.52000000002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00BCE-9CB8-4962-BF7D-BBF3E2047402}">
  <dimension ref="B12:K23"/>
  <sheetViews>
    <sheetView workbookViewId="0">
      <selection activeCell="G9" sqref="G9"/>
    </sheetView>
  </sheetViews>
  <sheetFormatPr defaultRowHeight="14.4" x14ac:dyDescent="0.3"/>
  <cols>
    <col min="2" max="2" width="32.21875" bestFit="1" customWidth="1"/>
    <col min="5" max="6" width="15.88671875" customWidth="1"/>
    <col min="7" max="8" width="12.33203125" bestFit="1" customWidth="1"/>
    <col min="9" max="9" width="14" bestFit="1" customWidth="1"/>
  </cols>
  <sheetData>
    <row r="12" spans="2:11" x14ac:dyDescent="0.3">
      <c r="B12" s="49" t="s">
        <v>243</v>
      </c>
      <c r="C12" s="50"/>
      <c r="D12" s="50" t="s">
        <v>218</v>
      </c>
      <c r="E12" s="50" t="s">
        <v>84</v>
      </c>
      <c r="F12" s="50" t="s">
        <v>251</v>
      </c>
      <c r="G12" s="50" t="s">
        <v>250</v>
      </c>
      <c r="H12" s="50" t="s">
        <v>135</v>
      </c>
      <c r="I12" s="50" t="s">
        <v>252</v>
      </c>
      <c r="J12" s="50"/>
      <c r="K12" s="50"/>
    </row>
    <row r="13" spans="2:11" x14ac:dyDescent="0.3">
      <c r="B13" s="77"/>
      <c r="C13" s="51"/>
      <c r="D13" s="56"/>
      <c r="E13" s="1"/>
      <c r="F13" s="57"/>
      <c r="G13" s="1"/>
      <c r="H13" s="80"/>
      <c r="I13" s="1"/>
      <c r="J13" s="57"/>
      <c r="K13" s="1"/>
    </row>
    <row r="14" spans="2:11" x14ac:dyDescent="0.3">
      <c r="B14" s="50" t="s">
        <v>244</v>
      </c>
      <c r="C14" s="51"/>
      <c r="D14" s="75">
        <v>192</v>
      </c>
      <c r="E14" s="52">
        <v>500</v>
      </c>
      <c r="F14" s="76"/>
      <c r="G14" s="76"/>
      <c r="H14" s="52">
        <f>D14*E14</f>
        <v>96000</v>
      </c>
      <c r="I14" s="76"/>
      <c r="J14" s="76"/>
      <c r="K14" s="29"/>
    </row>
    <row r="15" spans="2:11" x14ac:dyDescent="0.3">
      <c r="B15" s="50" t="s">
        <v>245</v>
      </c>
      <c r="C15" s="53"/>
      <c r="D15" s="75">
        <v>112.7</v>
      </c>
      <c r="E15" s="52">
        <v>400</v>
      </c>
      <c r="F15" s="76"/>
      <c r="G15" s="76"/>
      <c r="H15" s="52">
        <f>D15*E15</f>
        <v>45080</v>
      </c>
      <c r="I15" s="76"/>
      <c r="J15" s="76"/>
      <c r="K15" s="29"/>
    </row>
    <row r="16" spans="2:11" x14ac:dyDescent="0.3">
      <c r="B16" s="50" t="s">
        <v>211</v>
      </c>
      <c r="C16" s="54"/>
      <c r="D16" s="75">
        <v>1328</v>
      </c>
      <c r="E16" s="52">
        <v>750</v>
      </c>
      <c r="F16" s="76"/>
      <c r="G16" s="76"/>
      <c r="H16" s="52">
        <f>D16*E16</f>
        <v>996000</v>
      </c>
      <c r="I16" s="76"/>
      <c r="J16" s="76"/>
      <c r="K16" s="29"/>
    </row>
    <row r="17" spans="2:11" x14ac:dyDescent="0.3">
      <c r="B17" s="50" t="s">
        <v>246</v>
      </c>
      <c r="C17" s="54"/>
      <c r="D17" s="75"/>
      <c r="E17" s="52"/>
      <c r="F17" s="75">
        <v>1840</v>
      </c>
      <c r="G17" s="52">
        <v>200</v>
      </c>
      <c r="H17" s="52">
        <f>F17*G17</f>
        <v>368000</v>
      </c>
      <c r="I17" s="76"/>
      <c r="J17" s="76"/>
      <c r="K17" s="29"/>
    </row>
    <row r="18" spans="2:11" x14ac:dyDescent="0.3">
      <c r="B18" s="50" t="s">
        <v>248</v>
      </c>
      <c r="C18" s="54"/>
      <c r="D18" s="75"/>
      <c r="E18" s="52"/>
      <c r="F18" s="58">
        <v>46.2</v>
      </c>
      <c r="G18" s="52">
        <v>650</v>
      </c>
      <c r="H18" s="52">
        <f>F18*G18</f>
        <v>30030.000000000004</v>
      </c>
      <c r="I18" s="76"/>
      <c r="J18" s="76"/>
      <c r="K18" s="29"/>
    </row>
    <row r="19" spans="2:11" x14ac:dyDescent="0.3">
      <c r="B19" s="50" t="s">
        <v>247</v>
      </c>
      <c r="C19" s="54"/>
      <c r="D19" s="75">
        <v>2300</v>
      </c>
      <c r="E19" s="52">
        <v>250</v>
      </c>
      <c r="F19" s="58"/>
      <c r="G19" s="58"/>
      <c r="H19" s="52">
        <f>D19*E19</f>
        <v>575000</v>
      </c>
      <c r="I19" s="76"/>
      <c r="J19" s="76"/>
      <c r="K19" s="29"/>
    </row>
    <row r="20" spans="2:11" x14ac:dyDescent="0.3">
      <c r="B20" s="50" t="s">
        <v>210</v>
      </c>
      <c r="C20" s="54"/>
      <c r="D20" s="75">
        <v>349</v>
      </c>
      <c r="E20" s="52">
        <v>850</v>
      </c>
      <c r="F20" s="58"/>
      <c r="G20" s="58"/>
      <c r="H20" s="52">
        <f>D20*E20</f>
        <v>296650</v>
      </c>
      <c r="I20" s="76"/>
      <c r="J20" s="76"/>
      <c r="K20" s="29"/>
    </row>
    <row r="21" spans="2:11" x14ac:dyDescent="0.3">
      <c r="B21" s="50" t="s">
        <v>249</v>
      </c>
      <c r="C21" s="54"/>
      <c r="D21" s="75">
        <v>80</v>
      </c>
      <c r="E21" s="29">
        <v>1000</v>
      </c>
      <c r="F21" s="58"/>
      <c r="G21" s="58"/>
      <c r="H21" s="52">
        <f>D21*E21</f>
        <v>80000</v>
      </c>
      <c r="I21" s="76"/>
      <c r="J21" s="76"/>
      <c r="K21" s="29"/>
    </row>
    <row r="22" spans="2:11" x14ac:dyDescent="0.3">
      <c r="B22" s="91" t="s">
        <v>212</v>
      </c>
      <c r="C22" s="92"/>
      <c r="D22" s="29">
        <v>53</v>
      </c>
      <c r="E22" s="29">
        <v>600</v>
      </c>
      <c r="F22" s="29"/>
      <c r="G22" s="52"/>
      <c r="H22" s="52">
        <f>D22*E22</f>
        <v>31800</v>
      </c>
      <c r="I22" s="76"/>
      <c r="J22" s="76"/>
      <c r="K22" s="29"/>
    </row>
    <row r="23" spans="2:11" x14ac:dyDescent="0.3">
      <c r="B23" s="91"/>
      <c r="C23" s="92"/>
      <c r="D23" s="29"/>
      <c r="E23" s="29"/>
      <c r="F23" s="29"/>
      <c r="G23" s="52"/>
      <c r="H23" s="52"/>
      <c r="I23" s="69">
        <f>SUM(H14:H22)</f>
        <v>2518560</v>
      </c>
      <c r="J23" s="76"/>
      <c r="K23" s="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CF0AE-1918-4678-86D4-2D1BC86245C2}">
  <dimension ref="B2:P12"/>
  <sheetViews>
    <sheetView zoomScale="70" zoomScaleNormal="70" workbookViewId="0">
      <selection activeCell="K18" sqref="K18"/>
    </sheetView>
  </sheetViews>
  <sheetFormatPr defaultRowHeight="14.4" x14ac:dyDescent="0.3"/>
  <cols>
    <col min="2" max="2" width="14" customWidth="1"/>
    <col min="4" max="4" width="9.109375" bestFit="1" customWidth="1"/>
    <col min="5" max="5" width="10.44140625" customWidth="1"/>
    <col min="6" max="6" width="19.44140625" customWidth="1"/>
    <col min="7" max="7" width="19.6640625" customWidth="1"/>
    <col min="8" max="8" width="19.109375" customWidth="1"/>
    <col min="9" max="9" width="11.88671875" customWidth="1"/>
    <col min="10" max="10" width="13.109375" bestFit="1" customWidth="1"/>
    <col min="11" max="11" width="18.33203125" customWidth="1"/>
    <col min="12" max="12" width="23.5546875" customWidth="1"/>
    <col min="13" max="13" width="20.6640625" customWidth="1"/>
    <col min="14" max="14" width="17.109375" customWidth="1"/>
    <col min="15" max="15" width="24.5546875" customWidth="1"/>
    <col min="16" max="16" width="20.88671875" bestFit="1" customWidth="1"/>
  </cols>
  <sheetData>
    <row r="2" spans="2:16" x14ac:dyDescent="0.3">
      <c r="B2" s="49" t="s">
        <v>215</v>
      </c>
      <c r="C2" s="50"/>
      <c r="D2" s="50" t="s">
        <v>218</v>
      </c>
      <c r="E2" s="50" t="s">
        <v>219</v>
      </c>
      <c r="F2" s="50" t="s">
        <v>223</v>
      </c>
      <c r="G2" s="50" t="s">
        <v>224</v>
      </c>
      <c r="H2" s="50" t="s">
        <v>220</v>
      </c>
      <c r="I2" s="50"/>
      <c r="J2" s="50" t="s">
        <v>221</v>
      </c>
      <c r="K2" s="50" t="s">
        <v>222</v>
      </c>
      <c r="L2" s="50" t="s">
        <v>225</v>
      </c>
      <c r="M2" s="50" t="s">
        <v>230</v>
      </c>
      <c r="N2" s="50" t="s">
        <v>227</v>
      </c>
      <c r="O2" s="50" t="s">
        <v>231</v>
      </c>
      <c r="P2" s="50" t="s">
        <v>232</v>
      </c>
    </row>
    <row r="3" spans="2:16" x14ac:dyDescent="0.3">
      <c r="B3" s="50"/>
      <c r="C3" s="51"/>
      <c r="D3" s="56"/>
      <c r="E3" s="145">
        <v>1.6210045662100499E-2</v>
      </c>
      <c r="F3" s="143">
        <v>0.2</v>
      </c>
      <c r="G3" s="57">
        <f>F3*24</f>
        <v>4.8000000000000007</v>
      </c>
      <c r="H3" s="87">
        <v>400</v>
      </c>
      <c r="I3" s="1"/>
      <c r="J3" s="57"/>
      <c r="K3" s="1"/>
      <c r="L3" s="1"/>
      <c r="M3" s="1" t="s">
        <v>228</v>
      </c>
      <c r="N3" s="1" t="s">
        <v>229</v>
      </c>
      <c r="O3" s="150">
        <v>35</v>
      </c>
      <c r="P3" s="1"/>
    </row>
    <row r="4" spans="2:16" x14ac:dyDescent="0.3">
      <c r="B4" s="50" t="s">
        <v>216</v>
      </c>
      <c r="C4" s="51"/>
      <c r="D4" s="147">
        <v>165</v>
      </c>
      <c r="E4" s="146">
        <f>E$3*D4</f>
        <v>2.6746575342465824</v>
      </c>
      <c r="F4" s="144">
        <f>F$3*E4</f>
        <v>0.53493150684931645</v>
      </c>
      <c r="G4" s="61">
        <f>E4*G$3</f>
        <v>12.838356164383598</v>
      </c>
      <c r="H4" s="52">
        <f>D$4*H3</f>
        <v>66000</v>
      </c>
      <c r="I4" s="60"/>
      <c r="J4" s="61"/>
      <c r="K4" s="12"/>
      <c r="L4" s="55"/>
      <c r="M4" s="55"/>
      <c r="N4" s="55"/>
      <c r="O4" s="55"/>
      <c r="P4" s="55"/>
    </row>
    <row r="5" spans="2:16" x14ac:dyDescent="0.3">
      <c r="B5" s="50" t="s">
        <v>217</v>
      </c>
      <c r="C5" s="53"/>
      <c r="D5" s="147">
        <v>165</v>
      </c>
      <c r="E5" s="146">
        <f>E$3*D5</f>
        <v>2.6746575342465824</v>
      </c>
      <c r="F5" s="52">
        <f>F$3*E5</f>
        <v>0.53493150684931645</v>
      </c>
      <c r="G5" s="61">
        <f>E5*G$3</f>
        <v>12.838356164383598</v>
      </c>
      <c r="H5" s="52">
        <f>D5*H$3</f>
        <v>66000</v>
      </c>
      <c r="I5" s="60"/>
      <c r="J5" s="69"/>
      <c r="K5" s="12"/>
      <c r="L5" s="55"/>
      <c r="M5" s="55"/>
      <c r="N5" s="55"/>
      <c r="O5" s="55"/>
      <c r="P5" s="55"/>
    </row>
    <row r="6" spans="2:16" x14ac:dyDescent="0.3">
      <c r="B6" s="50"/>
      <c r="C6" s="54"/>
      <c r="D6" s="62"/>
      <c r="E6" s="12"/>
      <c r="F6" s="58"/>
      <c r="G6" s="60"/>
      <c r="H6" s="59"/>
      <c r="I6" s="60"/>
      <c r="J6" s="69"/>
      <c r="K6" s="12"/>
      <c r="L6" s="55"/>
      <c r="M6" s="55"/>
      <c r="N6" s="55"/>
      <c r="O6" s="55"/>
      <c r="P6" s="55"/>
    </row>
    <row r="7" spans="2:16" x14ac:dyDescent="0.3">
      <c r="B7" s="50"/>
      <c r="C7" s="51"/>
      <c r="D7" s="62"/>
      <c r="E7" s="12"/>
      <c r="F7" s="58"/>
      <c r="G7" s="60"/>
      <c r="H7" s="59"/>
      <c r="I7" s="60"/>
      <c r="J7" s="69"/>
      <c r="K7" s="12"/>
      <c r="L7" s="55"/>
      <c r="M7" s="55"/>
      <c r="N7" s="55"/>
      <c r="O7" s="55"/>
      <c r="P7" s="55"/>
    </row>
    <row r="8" spans="2:16" x14ac:dyDescent="0.3">
      <c r="B8" s="50"/>
      <c r="C8" s="51"/>
      <c r="D8" s="55"/>
      <c r="E8" s="12"/>
      <c r="F8" s="58"/>
      <c r="G8" s="12"/>
      <c r="H8" s="59"/>
      <c r="I8" s="12"/>
      <c r="J8" s="55"/>
      <c r="K8" s="12"/>
      <c r="L8" s="12"/>
      <c r="M8" s="12"/>
      <c r="N8" s="12"/>
      <c r="O8" s="12"/>
      <c r="P8" s="12"/>
    </row>
    <row r="9" spans="2:16" x14ac:dyDescent="0.3">
      <c r="B9" s="50"/>
      <c r="C9" s="51"/>
      <c r="D9" s="55"/>
      <c r="E9" s="12"/>
      <c r="F9" s="58"/>
      <c r="G9" s="12"/>
      <c r="H9" s="59"/>
      <c r="I9" s="12"/>
      <c r="J9" s="55">
        <f>SUM(H4:H5)</f>
        <v>132000</v>
      </c>
      <c r="K9" s="55">
        <f>SUM(G4:G9)</f>
        <v>25.676712328767195</v>
      </c>
      <c r="L9" s="148">
        <f>J9/(K9*365)</f>
        <v>14.084507042253483</v>
      </c>
      <c r="M9" s="151">
        <f>(($G3*0.9)*(($E4+$E5)))*365</f>
        <v>8434.8000000000247</v>
      </c>
      <c r="N9" s="151">
        <f>(($G3*0.8)*(($E4+$E5)))*365</f>
        <v>7497.6000000000213</v>
      </c>
      <c r="O9" s="52"/>
      <c r="P9" s="52">
        <f>(((O3-L9)-13)*N9)+(13*M9)</f>
        <v>168999.60000000076</v>
      </c>
    </row>
    <row r="12" spans="2:16" x14ac:dyDescent="0.3">
      <c r="B12" s="149" t="s">
        <v>226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Bamboe Kubus</vt:lpstr>
      <vt:lpstr>Kozijnen Kubus</vt:lpstr>
      <vt:lpstr>Scheeps Kubus</vt:lpstr>
      <vt:lpstr>Hennep Kubus</vt:lpstr>
      <vt:lpstr>Container Kubus</vt:lpstr>
      <vt:lpstr>Gras Kubus</vt:lpstr>
      <vt:lpstr>muren die eruit gaan &amp; vervang</vt:lpstr>
      <vt:lpstr>Bijkomende Kosten</vt:lpstr>
      <vt:lpstr>Zonnepanelen</vt:lpstr>
      <vt:lpstr>Exploitatiekosten</vt:lpstr>
      <vt:lpstr>Totale kosten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Yoeri Zonneveld</dc:creator>
  <cp:lastModifiedBy>Yoeri Zonneveld</cp:lastModifiedBy>
  <dcterms:created xsi:type="dcterms:W3CDTF">2019-05-07T06:44:59Z</dcterms:created>
  <dcterms:modified xsi:type="dcterms:W3CDTF">2019-05-22T10:18:23Z</dcterms:modified>
</cp:coreProperties>
</file>